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lciborowski_act-ct\Desktop\"/>
    </mc:Choice>
  </mc:AlternateContent>
  <xr:revisionPtr revIDLastSave="0" documentId="8_{4D133D47-80FF-4106-948F-CB45DE6DA6F2}" xr6:coauthVersionLast="36" xr6:coauthVersionMax="36" xr10:uidLastSave="{00000000-0000-0000-0000-000000000000}"/>
  <bookViews>
    <workbookView xWindow="0" yWindow="0" windowWidth="18580" windowHeight="5830" tabRatio="737" activeTab="6" xr2:uid="{00000000-000D-0000-FFFF-FFFF00000000}"/>
  </bookViews>
  <sheets>
    <sheet name="Instructions" sheetId="7" r:id="rId1"/>
    <sheet name="Eligibility" sheetId="1" r:id="rId2"/>
    <sheet name="EligReCert" sheetId="3" r:id="rId3"/>
    <sheet name="Med Expenses" sheetId="4" state="hidden" r:id="rId4"/>
    <sheet name="ZIncome" sheetId="9" r:id="rId5"/>
    <sheet name="Cap" sheetId="6" r:id="rId6"/>
    <sheet name="Charges" sheetId="5" r:id="rId7"/>
    <sheet name="Sheet1" sheetId="8" state="hidden" r:id="rId8"/>
    <sheet name="AddCharges" sheetId="10" state="hidden" r:id="rId9"/>
  </sheets>
  <definedNames>
    <definedName name="_xlnm.Print_Area" localSheetId="5">Cap!$A$1:$J$44</definedName>
    <definedName name="_xlnm.Print_Area" localSheetId="6">Charges!$A$1:$K$49</definedName>
    <definedName name="_xlnm.Print_Area" localSheetId="3">'Med Expenses'!$A$1:$J$48</definedName>
  </definedNames>
  <calcPr calcId="191029"/>
</workbook>
</file>

<file path=xl/calcChain.xml><?xml version="1.0" encoding="utf-8"?>
<calcChain xmlns="http://schemas.openxmlformats.org/spreadsheetml/2006/main">
  <c r="A72" i="3" l="1"/>
  <c r="B68" i="3"/>
  <c r="D60" i="3"/>
  <c r="F60" i="3" s="1"/>
  <c r="O47" i="1"/>
  <c r="R44" i="1"/>
  <c r="O44" i="1"/>
  <c r="S1" i="1"/>
  <c r="I1" i="4" s="1"/>
  <c r="K13" i="5"/>
  <c r="J13" i="5"/>
  <c r="I13" i="5"/>
  <c r="H13" i="5"/>
  <c r="G13" i="5"/>
  <c r="F13" i="5"/>
  <c r="E13" i="5"/>
  <c r="A43" i="6"/>
  <c r="J1" i="10"/>
  <c r="O1" i="3"/>
  <c r="O40" i="3" s="1"/>
  <c r="G1" i="6"/>
  <c r="H1" i="3"/>
  <c r="A1" i="6"/>
  <c r="A1" i="3"/>
  <c r="H1" i="5"/>
  <c r="G1" i="5"/>
  <c r="D1" i="5"/>
  <c r="A1" i="5"/>
  <c r="D1" i="6"/>
  <c r="S1" i="3"/>
  <c r="I1" i="6"/>
  <c r="J1" i="5"/>
  <c r="A44" i="1"/>
  <c r="E8" i="10"/>
  <c r="S55" i="3"/>
  <c r="P55" i="3"/>
  <c r="M55" i="3"/>
  <c r="I55" i="3"/>
  <c r="F55" i="3"/>
  <c r="B55" i="3"/>
  <c r="U75" i="3"/>
  <c r="V69" i="3"/>
  <c r="U69" i="3"/>
  <c r="W69" i="3" s="1"/>
  <c r="T69" i="3"/>
  <c r="S69" i="3"/>
  <c r="R69" i="3"/>
  <c r="Q69" i="3"/>
  <c r="P69" i="3"/>
  <c r="O69" i="3"/>
  <c r="N69" i="3"/>
  <c r="M69" i="3"/>
  <c r="K69" i="3"/>
  <c r="J69" i="3"/>
  <c r="I69" i="3"/>
  <c r="H69" i="3"/>
  <c r="AL10" i="3" s="1"/>
  <c r="G69" i="3"/>
  <c r="F69" i="3"/>
  <c r="D69" i="3"/>
  <c r="C69" i="3"/>
  <c r="B69" i="3"/>
  <c r="A69" i="3"/>
  <c r="U60" i="3"/>
  <c r="W60" i="3" s="1"/>
  <c r="O60" i="3"/>
  <c r="P60" i="3" s="1"/>
  <c r="K60" i="3"/>
  <c r="M60" i="3"/>
  <c r="H60" i="3"/>
  <c r="I60" i="3" s="1"/>
  <c r="I48" i="3"/>
  <c r="I46" i="3"/>
  <c r="U40" i="3"/>
  <c r="S22" i="3"/>
  <c r="P22" i="3"/>
  <c r="M22" i="3"/>
  <c r="I22" i="3"/>
  <c r="B22" i="3"/>
  <c r="F22" i="3"/>
  <c r="A3" i="10"/>
  <c r="B24" i="3"/>
  <c r="B46" i="3"/>
  <c r="B48" i="3" s="1"/>
  <c r="O42" i="6"/>
  <c r="O41" i="6"/>
  <c r="O40" i="6"/>
  <c r="O39" i="6"/>
  <c r="O38" i="6"/>
  <c r="O37" i="6"/>
  <c r="O36" i="6"/>
  <c r="O35" i="6"/>
  <c r="O34" i="6"/>
  <c r="O33" i="6"/>
  <c r="O32" i="6"/>
  <c r="O31" i="6"/>
  <c r="O30" i="6"/>
  <c r="O29" i="6"/>
  <c r="O28" i="6"/>
  <c r="O27" i="6"/>
  <c r="O26" i="6"/>
  <c r="O25" i="6"/>
  <c r="O24" i="6"/>
  <c r="O23" i="6"/>
  <c r="O22" i="6"/>
  <c r="O21" i="6"/>
  <c r="O20" i="6"/>
  <c r="A5" i="10"/>
  <c r="G34" i="10"/>
  <c r="G33" i="10"/>
  <c r="G32" i="10"/>
  <c r="G31" i="10"/>
  <c r="G30" i="10"/>
  <c r="G29" i="10"/>
  <c r="G28" i="10"/>
  <c r="G27" i="10"/>
  <c r="G26" i="10"/>
  <c r="G25" i="10"/>
  <c r="G24" i="10"/>
  <c r="G23" i="10"/>
  <c r="G22" i="10"/>
  <c r="G21" i="10"/>
  <c r="G20" i="10"/>
  <c r="G19" i="10"/>
  <c r="G18" i="10"/>
  <c r="G17" i="10"/>
  <c r="G16" i="10"/>
  <c r="G13" i="10"/>
  <c r="B42" i="10"/>
  <c r="G36" i="10"/>
  <c r="K19" i="10"/>
  <c r="J19" i="10"/>
  <c r="J34" i="10"/>
  <c r="J33" i="10"/>
  <c r="J32" i="10"/>
  <c r="J31" i="10"/>
  <c r="J30" i="10"/>
  <c r="J29" i="10"/>
  <c r="J28" i="10"/>
  <c r="J27" i="10"/>
  <c r="J26" i="10"/>
  <c r="J25" i="10"/>
  <c r="J24" i="10"/>
  <c r="J23" i="10"/>
  <c r="J22" i="10"/>
  <c r="J21" i="10"/>
  <c r="J20" i="10"/>
  <c r="J18" i="10"/>
  <c r="J17" i="10"/>
  <c r="J16" i="10"/>
  <c r="I34" i="10"/>
  <c r="H34" i="10"/>
  <c r="F34" i="10"/>
  <c r="E34" i="10"/>
  <c r="I33" i="10"/>
  <c r="H33" i="10"/>
  <c r="F33" i="10"/>
  <c r="E33" i="10"/>
  <c r="I32" i="10"/>
  <c r="H32" i="10"/>
  <c r="F32" i="10"/>
  <c r="E32" i="10"/>
  <c r="I31" i="10"/>
  <c r="H31" i="10"/>
  <c r="F31" i="10"/>
  <c r="E31" i="10"/>
  <c r="I30" i="10"/>
  <c r="H30" i="10"/>
  <c r="F30" i="10"/>
  <c r="E30" i="10"/>
  <c r="I29" i="10"/>
  <c r="H29" i="10"/>
  <c r="F29" i="10"/>
  <c r="E29" i="10"/>
  <c r="I28" i="10"/>
  <c r="H28" i="10"/>
  <c r="F28" i="10"/>
  <c r="E28" i="10"/>
  <c r="I27" i="10"/>
  <c r="H27" i="10"/>
  <c r="F27" i="10"/>
  <c r="E27" i="10"/>
  <c r="I26" i="10"/>
  <c r="H26" i="10"/>
  <c r="F26" i="10"/>
  <c r="E26" i="10"/>
  <c r="I25" i="10"/>
  <c r="H25" i="10"/>
  <c r="F25" i="10"/>
  <c r="E25" i="10"/>
  <c r="I24" i="10"/>
  <c r="H24" i="10"/>
  <c r="F24" i="10"/>
  <c r="E24" i="10"/>
  <c r="I23" i="10"/>
  <c r="H23" i="10"/>
  <c r="F23" i="10"/>
  <c r="E23" i="10"/>
  <c r="I22" i="10"/>
  <c r="H22" i="10"/>
  <c r="F22" i="10"/>
  <c r="E22" i="10"/>
  <c r="I21" i="10"/>
  <c r="H21" i="10"/>
  <c r="F21" i="10"/>
  <c r="E21" i="10"/>
  <c r="I20" i="10"/>
  <c r="H20" i="10"/>
  <c r="F20" i="10"/>
  <c r="E20" i="10"/>
  <c r="I19" i="10"/>
  <c r="H19" i="10"/>
  <c r="F19" i="10"/>
  <c r="E19" i="10"/>
  <c r="I18" i="10"/>
  <c r="H18" i="10"/>
  <c r="F18" i="10"/>
  <c r="E18" i="10"/>
  <c r="I17" i="10"/>
  <c r="H17" i="10"/>
  <c r="F17" i="10"/>
  <c r="E17" i="10"/>
  <c r="I16" i="10"/>
  <c r="H16" i="10"/>
  <c r="F16" i="10"/>
  <c r="E16" i="10"/>
  <c r="E13" i="10"/>
  <c r="J13" i="10"/>
  <c r="J36" i="10"/>
  <c r="I13" i="10"/>
  <c r="I36" i="10"/>
  <c r="H13" i="10"/>
  <c r="H36" i="10"/>
  <c r="F13" i="10"/>
  <c r="F36" i="10"/>
  <c r="J49" i="10"/>
  <c r="K34" i="10"/>
  <c r="K33" i="10"/>
  <c r="K32" i="10"/>
  <c r="K31" i="10"/>
  <c r="K30" i="10"/>
  <c r="K29" i="10"/>
  <c r="K28" i="10"/>
  <c r="K27" i="10"/>
  <c r="K26" i="10"/>
  <c r="K25" i="10"/>
  <c r="K24" i="10"/>
  <c r="K23" i="10"/>
  <c r="K22" i="10"/>
  <c r="K21" i="10"/>
  <c r="K20" i="10"/>
  <c r="K18" i="10"/>
  <c r="K17" i="10"/>
  <c r="K16" i="10"/>
  <c r="K13" i="10"/>
  <c r="J8" i="10"/>
  <c r="I8" i="10"/>
  <c r="H8" i="10"/>
  <c r="G8" i="10"/>
  <c r="F8" i="10"/>
  <c r="E36" i="10"/>
  <c r="A38" i="10" s="1"/>
  <c r="K36" i="10"/>
  <c r="N37" i="6"/>
  <c r="N36" i="6"/>
  <c r="N35" i="6"/>
  <c r="N34" i="6"/>
  <c r="A4" i="10"/>
  <c r="H67" i="1"/>
  <c r="N42" i="6"/>
  <c r="N41" i="6"/>
  <c r="N40" i="6"/>
  <c r="N39" i="6"/>
  <c r="N38" i="6"/>
  <c r="N33" i="6"/>
  <c r="N32" i="6"/>
  <c r="N31" i="6"/>
  <c r="N30" i="6"/>
  <c r="N29" i="6"/>
  <c r="N28" i="6"/>
  <c r="N27" i="6"/>
  <c r="N26" i="6"/>
  <c r="N25" i="6"/>
  <c r="N24" i="6"/>
  <c r="N23" i="6"/>
  <c r="N22" i="6"/>
  <c r="A76" i="1"/>
  <c r="J7" i="5"/>
  <c r="I7" i="5"/>
  <c r="H7" i="5"/>
  <c r="G7" i="5"/>
  <c r="F7" i="5"/>
  <c r="E7" i="5"/>
  <c r="M24" i="3"/>
  <c r="I53" i="1"/>
  <c r="B26" i="1"/>
  <c r="B53" i="1"/>
  <c r="B13" i="6"/>
  <c r="G10" i="6" s="1"/>
  <c r="G4" i="8"/>
  <c r="H4" i="8"/>
  <c r="G5" i="8"/>
  <c r="G12" i="8" s="1"/>
  <c r="G6" i="6"/>
  <c r="O19" i="6"/>
  <c r="J44" i="6"/>
  <c r="J48" i="5"/>
  <c r="D7" i="4"/>
  <c r="M12" i="4"/>
  <c r="L13" i="4"/>
  <c r="M13" i="4"/>
  <c r="L14" i="4"/>
  <c r="M14" i="4"/>
  <c r="L15" i="4"/>
  <c r="M15" i="4"/>
  <c r="L16" i="4"/>
  <c r="M16" i="4"/>
  <c r="L17" i="4"/>
  <c r="M17" i="4"/>
  <c r="L18" i="4"/>
  <c r="M18" i="4"/>
  <c r="L19" i="4"/>
  <c r="M19" i="4"/>
  <c r="L20" i="4"/>
  <c r="M20" i="4"/>
  <c r="L21" i="4"/>
  <c r="M21" i="4"/>
  <c r="L22" i="4"/>
  <c r="M22" i="4"/>
  <c r="L23" i="4"/>
  <c r="M23" i="4"/>
  <c r="L24" i="4"/>
  <c r="M24" i="4"/>
  <c r="L25" i="4"/>
  <c r="M25" i="4"/>
  <c r="L26" i="4"/>
  <c r="M26" i="4"/>
  <c r="L27" i="4"/>
  <c r="M27" i="4"/>
  <c r="L28" i="4"/>
  <c r="M28" i="4"/>
  <c r="L29" i="4"/>
  <c r="M29" i="4"/>
  <c r="L30" i="4"/>
  <c r="M30" i="4"/>
  <c r="L31" i="4"/>
  <c r="M31" i="4"/>
  <c r="L32" i="4"/>
  <c r="M32" i="4"/>
  <c r="L33" i="4"/>
  <c r="M33" i="4"/>
  <c r="L34" i="4"/>
  <c r="M34" i="4"/>
  <c r="L35" i="4"/>
  <c r="M35" i="4"/>
  <c r="L36" i="4"/>
  <c r="M36" i="4"/>
  <c r="L37" i="4"/>
  <c r="M37" i="4"/>
  <c r="L38" i="4"/>
  <c r="M38" i="4"/>
  <c r="L39" i="4"/>
  <c r="M39" i="4"/>
  <c r="L40" i="4"/>
  <c r="M40" i="4"/>
  <c r="L41" i="4"/>
  <c r="M41" i="4"/>
  <c r="L42" i="4"/>
  <c r="M42" i="4"/>
  <c r="L43" i="4"/>
  <c r="M43" i="4"/>
  <c r="L44" i="4"/>
  <c r="M44" i="4"/>
  <c r="L45" i="4"/>
  <c r="M45" i="4"/>
  <c r="I48" i="4"/>
  <c r="F26" i="1"/>
  <c r="I26" i="1"/>
  <c r="M26" i="1"/>
  <c r="P26" i="1"/>
  <c r="S26" i="1"/>
  <c r="H44" i="1"/>
  <c r="U44" i="1"/>
  <c r="I55" i="1"/>
  <c r="F67" i="1"/>
  <c r="K67" i="1"/>
  <c r="M67" i="1" s="1"/>
  <c r="O67" i="1"/>
  <c r="P67" i="1" s="1"/>
  <c r="R67" i="1"/>
  <c r="S67" i="1" s="1"/>
  <c r="U67" i="1"/>
  <c r="B76" i="1"/>
  <c r="C76" i="1"/>
  <c r="G76" i="1"/>
  <c r="J76" i="1"/>
  <c r="N76" i="1"/>
  <c r="Q76" i="1"/>
  <c r="T76" i="1"/>
  <c r="V76" i="1"/>
  <c r="U81" i="1"/>
  <c r="S4" i="8"/>
  <c r="T4" i="8"/>
  <c r="P4" i="8"/>
  <c r="Q4" i="8"/>
  <c r="M4" i="8"/>
  <c r="N4" i="8" s="1"/>
  <c r="V4" i="8"/>
  <c r="W4" i="8" s="1"/>
  <c r="J4" i="8"/>
  <c r="K4" i="8"/>
  <c r="N20" i="6"/>
  <c r="N21" i="6"/>
  <c r="N19" i="6"/>
  <c r="B28" i="1"/>
  <c r="W67" i="1"/>
  <c r="L12" i="4"/>
  <c r="A10" i="6"/>
  <c r="A11" i="6"/>
  <c r="I43" i="6" s="1"/>
  <c r="B15" i="6" s="1"/>
  <c r="I46" i="4"/>
  <c r="B55" i="1"/>
  <c r="A9" i="4"/>
  <c r="A10" i="4"/>
  <c r="D68" i="1"/>
  <c r="H68" i="1" s="1"/>
  <c r="R68" i="1"/>
  <c r="P75" i="1" s="1"/>
  <c r="D76" i="1"/>
  <c r="F76" i="1"/>
  <c r="H76" i="1"/>
  <c r="I76" i="1"/>
  <c r="O76" i="1"/>
  <c r="P76" i="1"/>
  <c r="U76" i="1"/>
  <c r="W76" i="1" s="1"/>
  <c r="K76" i="1"/>
  <c r="M76" i="1"/>
  <c r="R76" i="1"/>
  <c r="S76" i="1"/>
  <c r="M28" i="1"/>
  <c r="A36" i="5" s="1"/>
  <c r="H5" i="5"/>
  <c r="I15" i="6"/>
  <c r="J18" i="5"/>
  <c r="K18" i="5"/>
  <c r="K32" i="5"/>
  <c r="E32" i="5"/>
  <c r="J32" i="5"/>
  <c r="E18" i="5"/>
  <c r="I32" i="5"/>
  <c r="H32" i="5"/>
  <c r="H18" i="5"/>
  <c r="I18" i="5"/>
  <c r="G32" i="5"/>
  <c r="F32" i="5"/>
  <c r="F18" i="5"/>
  <c r="G18" i="5"/>
  <c r="E33" i="5"/>
  <c r="J33" i="5"/>
  <c r="J30" i="5"/>
  <c r="J28" i="5"/>
  <c r="J26" i="5"/>
  <c r="J24" i="5"/>
  <c r="J22" i="5"/>
  <c r="J20" i="5"/>
  <c r="J16" i="5"/>
  <c r="J14" i="5"/>
  <c r="J17" i="5"/>
  <c r="K16" i="5"/>
  <c r="K14" i="5"/>
  <c r="K33" i="5"/>
  <c r="K30" i="5"/>
  <c r="K28" i="5"/>
  <c r="K26" i="5"/>
  <c r="K24" i="5"/>
  <c r="K22" i="5"/>
  <c r="K20" i="5"/>
  <c r="J31" i="5"/>
  <c r="J29" i="5"/>
  <c r="J27" i="5"/>
  <c r="J25" i="5"/>
  <c r="J23" i="5"/>
  <c r="J21" i="5"/>
  <c r="J19" i="5"/>
  <c r="J15" i="5"/>
  <c r="J12" i="5"/>
  <c r="K17" i="5"/>
  <c r="K15" i="5"/>
  <c r="K12" i="5"/>
  <c r="K31" i="5"/>
  <c r="K29" i="5"/>
  <c r="K27" i="5"/>
  <c r="K25" i="5"/>
  <c r="K23" i="5"/>
  <c r="K21" i="5"/>
  <c r="K19" i="5"/>
  <c r="E30" i="5"/>
  <c r="E28" i="5"/>
  <c r="E26" i="5"/>
  <c r="E24" i="5"/>
  <c r="E22" i="5"/>
  <c r="E20" i="5"/>
  <c r="E17" i="5"/>
  <c r="E15" i="5"/>
  <c r="E31" i="5"/>
  <c r="E29" i="5"/>
  <c r="E27" i="5"/>
  <c r="E25" i="5"/>
  <c r="E23" i="5"/>
  <c r="E21" i="5"/>
  <c r="E19" i="5"/>
  <c r="E16" i="5"/>
  <c r="E14" i="5"/>
  <c r="I12" i="5"/>
  <c r="I31" i="5"/>
  <c r="I29" i="5"/>
  <c r="I27" i="5"/>
  <c r="I25" i="5"/>
  <c r="I23" i="5"/>
  <c r="I21" i="5"/>
  <c r="I19" i="5"/>
  <c r="I16" i="5"/>
  <c r="I14" i="5"/>
  <c r="I33" i="5"/>
  <c r="I30" i="5"/>
  <c r="I28" i="5"/>
  <c r="I26" i="5"/>
  <c r="I24" i="5"/>
  <c r="I22" i="5"/>
  <c r="I20" i="5"/>
  <c r="I17" i="5"/>
  <c r="I15" i="5"/>
  <c r="H33" i="5"/>
  <c r="H30" i="5"/>
  <c r="H28" i="5"/>
  <c r="H26" i="5"/>
  <c r="H24" i="5"/>
  <c r="H22" i="5"/>
  <c r="H20" i="5"/>
  <c r="H17" i="5"/>
  <c r="H15" i="5"/>
  <c r="H12" i="5"/>
  <c r="H31" i="5"/>
  <c r="H29" i="5"/>
  <c r="H27" i="5"/>
  <c r="H25" i="5"/>
  <c r="H23" i="5"/>
  <c r="H21" i="5"/>
  <c r="H19" i="5"/>
  <c r="H16" i="5"/>
  <c r="H14" i="5"/>
  <c r="G12" i="5"/>
  <c r="G33" i="5"/>
  <c r="G31" i="5"/>
  <c r="G29" i="5"/>
  <c r="G27" i="5"/>
  <c r="G25" i="5"/>
  <c r="G23" i="5"/>
  <c r="G21" i="5"/>
  <c r="G19" i="5"/>
  <c r="G16" i="5"/>
  <c r="G14" i="5"/>
  <c r="G30" i="5"/>
  <c r="G28" i="5"/>
  <c r="G26" i="5"/>
  <c r="G24" i="5"/>
  <c r="G22" i="5"/>
  <c r="G20" i="5"/>
  <c r="G17" i="5"/>
  <c r="G15" i="5"/>
  <c r="E12" i="5"/>
  <c r="F33" i="5"/>
  <c r="F30" i="5"/>
  <c r="F28" i="5"/>
  <c r="F26" i="5"/>
  <c r="F24" i="5"/>
  <c r="F22" i="5"/>
  <c r="F20" i="5"/>
  <c r="F17" i="5"/>
  <c r="F15" i="5"/>
  <c r="F12" i="5"/>
  <c r="F31" i="5"/>
  <c r="F29" i="5"/>
  <c r="F27" i="5"/>
  <c r="F25" i="5"/>
  <c r="F23" i="5"/>
  <c r="F21" i="5"/>
  <c r="F19" i="5"/>
  <c r="F16" i="5"/>
  <c r="F14" i="5"/>
  <c r="H40" i="3"/>
  <c r="E1" i="4"/>
  <c r="A3" i="4"/>
  <c r="A40" i="3"/>
  <c r="A1" i="4"/>
  <c r="B41" i="5"/>
  <c r="AM2" i="1" l="1"/>
  <c r="D61" i="3"/>
  <c r="AL14" i="1"/>
  <c r="J5" i="8"/>
  <c r="M5" i="8"/>
  <c r="H5" i="8"/>
  <c r="V5" i="8"/>
  <c r="S5" i="8"/>
  <c r="P5" i="8"/>
  <c r="I67" i="1"/>
  <c r="G6" i="8"/>
  <c r="S68" i="1"/>
  <c r="D62" i="3"/>
  <c r="U62" i="3" s="1"/>
  <c r="W62" i="3" s="1"/>
  <c r="O68" i="1"/>
  <c r="U68" i="1"/>
  <c r="F68" i="1"/>
  <c r="AM14" i="1"/>
  <c r="K68" i="1"/>
  <c r="M68" i="1" s="1"/>
  <c r="D69" i="1"/>
  <c r="R69" i="1" s="1"/>
  <c r="S69" i="1" s="1"/>
  <c r="AM10" i="3"/>
  <c r="I68" i="1"/>
  <c r="F75" i="1"/>
  <c r="H69" i="1"/>
  <c r="R60" i="3"/>
  <c r="O61" i="3"/>
  <c r="AL2" i="1"/>
  <c r="K61" i="3"/>
  <c r="K69" i="1"/>
  <c r="M69" i="1" s="1"/>
  <c r="H61" i="3"/>
  <c r="U61" i="3"/>
  <c r="D70" i="1"/>
  <c r="H62" i="3" l="1"/>
  <c r="I62" i="3" s="1"/>
  <c r="P6" i="8"/>
  <c r="Q6" i="8" s="1"/>
  <c r="J6" i="8"/>
  <c r="K6" i="8" s="1"/>
  <c r="V6" i="8"/>
  <c r="W6" i="8" s="1"/>
  <c r="G7" i="8"/>
  <c r="M6" i="8"/>
  <c r="N6" i="8" s="1"/>
  <c r="H6" i="8"/>
  <c r="S6" i="8"/>
  <c r="T6" i="8" s="1"/>
  <c r="Q5" i="8"/>
  <c r="P12" i="8"/>
  <c r="T5" i="8"/>
  <c r="S12" i="8"/>
  <c r="V12" i="8"/>
  <c r="W5" i="8"/>
  <c r="W12" i="8" s="1"/>
  <c r="M12" i="8"/>
  <c r="N5" i="8"/>
  <c r="J12" i="8"/>
  <c r="K5" i="8"/>
  <c r="R61" i="3"/>
  <c r="AL3" i="3" s="1"/>
  <c r="F61" i="3"/>
  <c r="S75" i="1"/>
  <c r="V75" i="1" s="1"/>
  <c r="W68" i="1"/>
  <c r="O62" i="3"/>
  <c r="P62" i="3" s="1"/>
  <c r="K62" i="3"/>
  <c r="M62" i="3" s="1"/>
  <c r="F62" i="3"/>
  <c r="D63" i="3"/>
  <c r="R62" i="3"/>
  <c r="S62" i="3" s="1"/>
  <c r="AL7" i="1"/>
  <c r="P68" i="1"/>
  <c r="M75" i="1"/>
  <c r="AM7" i="1"/>
  <c r="I75" i="1"/>
  <c r="O69" i="1"/>
  <c r="P69" i="1" s="1"/>
  <c r="U69" i="1"/>
  <c r="W69" i="1" s="1"/>
  <c r="F69" i="1"/>
  <c r="M68" i="3"/>
  <c r="P61" i="3"/>
  <c r="D71" i="1"/>
  <c r="U70" i="1"/>
  <c r="W70" i="1" s="1"/>
  <c r="F70" i="1"/>
  <c r="R70" i="1"/>
  <c r="S70" i="1" s="1"/>
  <c r="O70" i="1"/>
  <c r="P70" i="1" s="1"/>
  <c r="K70" i="1"/>
  <c r="M70" i="1" s="1"/>
  <c r="H70" i="1"/>
  <c r="I70" i="1" s="1"/>
  <c r="AL2" i="3"/>
  <c r="AM2" i="3"/>
  <c r="S60" i="3"/>
  <c r="AM8" i="1"/>
  <c r="I68" i="3"/>
  <c r="M61" i="3"/>
  <c r="I69" i="1"/>
  <c r="W61" i="3"/>
  <c r="S68" i="3"/>
  <c r="V68" i="3" s="1"/>
  <c r="I61" i="3"/>
  <c r="F68" i="3"/>
  <c r="AM3" i="3"/>
  <c r="P7" i="8" l="1"/>
  <c r="Q7" i="8" s="1"/>
  <c r="V7" i="8"/>
  <c r="W7" i="8" s="1"/>
  <c r="J7" i="8"/>
  <c r="K7" i="8" s="1"/>
  <c r="M7" i="8"/>
  <c r="N7" i="8" s="1"/>
  <c r="S7" i="8"/>
  <c r="T7" i="8" s="1"/>
  <c r="H7" i="8"/>
  <c r="G8" i="8"/>
  <c r="S61" i="3"/>
  <c r="P68" i="3"/>
  <c r="AL4" i="3"/>
  <c r="AL8" i="1"/>
  <c r="AM4" i="3"/>
  <c r="H63" i="3"/>
  <c r="I63" i="3" s="1"/>
  <c r="U63" i="3"/>
  <c r="W63" i="3" s="1"/>
  <c r="O63" i="3"/>
  <c r="P63" i="3" s="1"/>
  <c r="K63" i="3"/>
  <c r="M63" i="3" s="1"/>
  <c r="D64" i="3"/>
  <c r="R63" i="3"/>
  <c r="S63" i="3" s="1"/>
  <c r="F63" i="3"/>
  <c r="D72" i="1"/>
  <c r="H71" i="1"/>
  <c r="I71" i="1" s="1"/>
  <c r="O71" i="1"/>
  <c r="P71" i="1" s="1"/>
  <c r="F71" i="1"/>
  <c r="U71" i="1"/>
  <c r="W71" i="1" s="1"/>
  <c r="K71" i="1"/>
  <c r="M71" i="1" s="1"/>
  <c r="R71" i="1"/>
  <c r="S71" i="1" s="1"/>
  <c r="AL9" i="1"/>
  <c r="AM9" i="1"/>
  <c r="AL5" i="3" l="1"/>
  <c r="V8" i="8"/>
  <c r="W8" i="8" s="1"/>
  <c r="P8" i="8"/>
  <c r="Q8" i="8" s="1"/>
  <c r="G9" i="8"/>
  <c r="H8" i="8"/>
  <c r="M8" i="8"/>
  <c r="N8" i="8" s="1"/>
  <c r="J8" i="8"/>
  <c r="K8" i="8" s="1"/>
  <c r="S8" i="8"/>
  <c r="T8" i="8" s="1"/>
  <c r="R64" i="3"/>
  <c r="S64" i="3" s="1"/>
  <c r="O64" i="3"/>
  <c r="P64" i="3" s="1"/>
  <c r="K64" i="3"/>
  <c r="M64" i="3" s="1"/>
  <c r="U64" i="3"/>
  <c r="W64" i="3" s="1"/>
  <c r="D65" i="3"/>
  <c r="H64" i="3"/>
  <c r="F64" i="3"/>
  <c r="AM5" i="3"/>
  <c r="AM10" i="1"/>
  <c r="AL10" i="1"/>
  <c r="U72" i="1"/>
  <c r="W72" i="1" s="1"/>
  <c r="H72" i="1"/>
  <c r="I72" i="1" s="1"/>
  <c r="F72" i="1"/>
  <c r="R72" i="1"/>
  <c r="S72" i="1" s="1"/>
  <c r="D73" i="1"/>
  <c r="O72" i="1"/>
  <c r="P72" i="1" s="1"/>
  <c r="K72" i="1"/>
  <c r="M72" i="1" s="1"/>
  <c r="M9" i="8" l="1"/>
  <c r="N9" i="8" s="1"/>
  <c r="G10" i="8"/>
  <c r="P9" i="8"/>
  <c r="Q9" i="8" s="1"/>
  <c r="S9" i="8"/>
  <c r="T9" i="8" s="1"/>
  <c r="V9" i="8"/>
  <c r="W9" i="8" s="1"/>
  <c r="J9" i="8"/>
  <c r="K9" i="8" s="1"/>
  <c r="H9" i="8"/>
  <c r="AM11" i="1"/>
  <c r="AL11" i="1"/>
  <c r="AL6" i="3"/>
  <c r="I64" i="3"/>
  <c r="AM6" i="3"/>
  <c r="O65" i="3"/>
  <c r="P65" i="3" s="1"/>
  <c r="K65" i="3"/>
  <c r="M65" i="3" s="1"/>
  <c r="H65" i="3"/>
  <c r="I65" i="3" s="1"/>
  <c r="F65" i="3"/>
  <c r="D66" i="3"/>
  <c r="R65" i="3"/>
  <c r="S65" i="3" s="1"/>
  <c r="U65" i="3"/>
  <c r="W65" i="3" s="1"/>
  <c r="U73" i="1"/>
  <c r="W73" i="1" s="1"/>
  <c r="H73" i="1"/>
  <c r="I73" i="1" s="1"/>
  <c r="R73" i="1"/>
  <c r="S73" i="1" s="1"/>
  <c r="K73" i="1"/>
  <c r="M73" i="1" s="1"/>
  <c r="D74" i="1"/>
  <c r="O73" i="1"/>
  <c r="P73" i="1" s="1"/>
  <c r="F73" i="1"/>
  <c r="G11" i="8" l="1"/>
  <c r="P10" i="8"/>
  <c r="Q10" i="8" s="1"/>
  <c r="S10" i="8"/>
  <c r="T10" i="8" s="1"/>
  <c r="H10" i="8"/>
  <c r="J10" i="8"/>
  <c r="K10" i="8" s="1"/>
  <c r="V10" i="8"/>
  <c r="W10" i="8" s="1"/>
  <c r="M10" i="8"/>
  <c r="N10" i="8" s="1"/>
  <c r="AM7" i="3"/>
  <c r="O66" i="3"/>
  <c r="P66" i="3" s="1"/>
  <c r="D67" i="3"/>
  <c r="U66" i="3"/>
  <c r="W66" i="3" s="1"/>
  <c r="R66" i="3"/>
  <c r="S66" i="3" s="1"/>
  <c r="K66" i="3"/>
  <c r="M66" i="3" s="1"/>
  <c r="H66" i="3"/>
  <c r="F66" i="3"/>
  <c r="AL7" i="3"/>
  <c r="H74" i="1"/>
  <c r="I74" i="1" s="1"/>
  <c r="U74" i="1"/>
  <c r="W74" i="1" s="1"/>
  <c r="K74" i="1"/>
  <c r="M74" i="1" s="1"/>
  <c r="R74" i="1"/>
  <c r="S74" i="1" s="1"/>
  <c r="F74" i="1"/>
  <c r="O74" i="1"/>
  <c r="P74" i="1" s="1"/>
  <c r="AM12" i="1"/>
  <c r="AI8" i="1" s="1"/>
  <c r="AL12" i="1"/>
  <c r="AI1" i="1" s="1"/>
  <c r="V11" i="8" l="1"/>
  <c r="W11" i="8" s="1"/>
  <c r="M11" i="8"/>
  <c r="N11" i="8" s="1"/>
  <c r="H11" i="8"/>
  <c r="P11" i="8"/>
  <c r="Q11" i="8" s="1"/>
  <c r="S11" i="8"/>
  <c r="T11" i="8" s="1"/>
  <c r="J11" i="8"/>
  <c r="K11" i="8" s="1"/>
  <c r="I66" i="3"/>
  <c r="AL8" i="3"/>
  <c r="AI1" i="3" s="1"/>
  <c r="AM8" i="3"/>
  <c r="AI4" i="3" s="1"/>
  <c r="R67" i="3"/>
  <c r="S67" i="3" s="1"/>
  <c r="O67" i="3"/>
  <c r="P67" i="3" s="1"/>
  <c r="K67" i="3"/>
  <c r="M67" i="3" s="1"/>
  <c r="F67" i="3"/>
  <c r="U67" i="3"/>
  <c r="W67" i="3" s="1"/>
  <c r="H67" i="3"/>
  <c r="AM13" i="1"/>
  <c r="AI9" i="1" s="1"/>
  <c r="AI11" i="1" s="1"/>
  <c r="AL13" i="1"/>
  <c r="AI2" i="1" s="1"/>
  <c r="AG1" i="1" s="1"/>
  <c r="AF1" i="1" s="1"/>
  <c r="AG8" i="1" l="1"/>
  <c r="AF8" i="1" s="1"/>
  <c r="I67" i="3"/>
  <c r="AL9" i="3"/>
  <c r="AI2" i="3" s="1"/>
  <c r="AG1" i="3" s="1"/>
  <c r="AF1" i="3" s="1"/>
  <c r="AM9" i="3"/>
  <c r="AI5" i="3" s="1"/>
  <c r="AG4" i="3" s="1"/>
  <c r="AF4" i="3" s="1"/>
  <c r="L28" i="1"/>
  <c r="AG10" i="1"/>
  <c r="AG12" i="1" s="1"/>
  <c r="Q57" i="1" l="1"/>
  <c r="I13" i="6" s="1"/>
  <c r="L24" i="3"/>
  <c r="AG6" i="3"/>
  <c r="AG8" i="3" s="1"/>
  <c r="AI7" i="3"/>
  <c r="B59" i="1"/>
  <c r="B57" i="1"/>
  <c r="B52" i="3" l="1"/>
  <c r="Q50" i="3"/>
  <c r="B50" i="3"/>
  <c r="I50" i="3" s="1"/>
  <c r="I11" i="6"/>
  <c r="A9" i="6" s="1"/>
  <c r="I57" i="1"/>
  <c r="AI12" i="1"/>
  <c r="I59" i="1"/>
  <c r="I52" i="3" l="1"/>
  <c r="AI8" i="3"/>
  <c r="C9" i="5"/>
  <c r="C8" i="5"/>
  <c r="E3" i="5" s="1"/>
  <c r="A5" i="5" l="1"/>
  <c r="E35" i="5"/>
  <c r="G35" i="5"/>
  <c r="F35" i="5"/>
  <c r="H35" i="5"/>
  <c r="I35" i="5"/>
  <c r="J35" i="5"/>
  <c r="K35" i="5"/>
  <c r="L36" i="5" l="1"/>
  <c r="A37" i="5"/>
</calcChain>
</file>

<file path=xl/sharedStrings.xml><?xml version="1.0" encoding="utf-8"?>
<sst xmlns="http://schemas.openxmlformats.org/spreadsheetml/2006/main" count="682" uniqueCount="329">
  <si>
    <t>Family Size</t>
  </si>
  <si>
    <t>8+</t>
  </si>
  <si>
    <t>FI</t>
  </si>
  <si>
    <t>CI</t>
  </si>
  <si>
    <t>1-7</t>
  </si>
  <si>
    <t>8-8+</t>
  </si>
  <si>
    <t>Cap category</t>
  </si>
  <si>
    <t>Sliding Scale</t>
  </si>
  <si>
    <t>FPL</t>
  </si>
  <si>
    <t>Scale Category</t>
  </si>
  <si>
    <t>Sliding Scale Category</t>
  </si>
  <si>
    <t>Sliding Scale Percent</t>
  </si>
  <si>
    <t>Cap Percent</t>
  </si>
  <si>
    <t>Unemployment</t>
  </si>
  <si>
    <t>Child Support</t>
  </si>
  <si>
    <t>Self-employment (Federal Tax Return w/schedule C</t>
  </si>
  <si>
    <t>Client Name</t>
  </si>
  <si>
    <t>Case Number</t>
  </si>
  <si>
    <t>Date</t>
  </si>
  <si>
    <t>INCOME</t>
  </si>
  <si>
    <t>Client</t>
  </si>
  <si>
    <t>Number of People in Household</t>
  </si>
  <si>
    <t>for each additional person, add</t>
  </si>
  <si>
    <t>Client CAP</t>
  </si>
  <si>
    <t>Client CAP and Sliding Fee Determination</t>
  </si>
  <si>
    <t>Client Income</t>
  </si>
  <si>
    <t>FLP</t>
  </si>
  <si>
    <t>Work Income</t>
  </si>
  <si>
    <t>Worker's Comp</t>
  </si>
  <si>
    <t>Social Security Disability Insurance (SSDI)</t>
  </si>
  <si>
    <t>Pension</t>
  </si>
  <si>
    <t>Supplementary Security Income</t>
  </si>
  <si>
    <t>State Supplement for the Disabled</t>
  </si>
  <si>
    <t>NA for Fees</t>
  </si>
  <si>
    <t>cap calculator</t>
  </si>
  <si>
    <t>Individual Totals</t>
  </si>
  <si>
    <t>Date Paid</t>
  </si>
  <si>
    <t>Out of Pocket Expense</t>
  </si>
  <si>
    <t>Client's Signature</t>
  </si>
  <si>
    <t>MCM Signature</t>
  </si>
  <si>
    <t>Total Out of Pocket Expenses</t>
  </si>
  <si>
    <t>Other (please sum)</t>
  </si>
  <si>
    <t>(Please sum)</t>
  </si>
  <si>
    <t>Row 1. Enter client name and case number (if desired) at top</t>
  </si>
  <si>
    <t>Household Size</t>
  </si>
  <si>
    <t>Yearly Client Cap Category</t>
  </si>
  <si>
    <t>Please attach receipts to this form</t>
  </si>
  <si>
    <t>&lt;100%</t>
  </si>
  <si>
    <t>101-133%</t>
  </si>
  <si>
    <t>134-150%</t>
  </si>
  <si>
    <t>151-200%</t>
  </si>
  <si>
    <t>201-300%</t>
  </si>
  <si>
    <t>301-400%</t>
  </si>
  <si>
    <t>-</t>
  </si>
  <si>
    <t>Cell R5. Enter number of people in household in box at upper right.</t>
  </si>
  <si>
    <t>Household FPL</t>
  </si>
  <si>
    <t>Total Household Income</t>
  </si>
  <si>
    <t>Sliding Fee Scale</t>
  </si>
  <si>
    <t>SERVICE</t>
  </si>
  <si>
    <t>Outpatient/Ambulatory</t>
  </si>
  <si>
    <t>Mental Health</t>
  </si>
  <si>
    <t>Individual</t>
  </si>
  <si>
    <t>Group</t>
  </si>
  <si>
    <t>Oral Health</t>
  </si>
  <si>
    <t>Medical Case Management</t>
  </si>
  <si>
    <t>Medical Nutritional Therapy</t>
  </si>
  <si>
    <t>Medication Adherence</t>
  </si>
  <si>
    <t>Early Intervention Services</t>
  </si>
  <si>
    <t>Health Insurance Premium</t>
  </si>
  <si>
    <t>Non-medical Case Management</t>
  </si>
  <si>
    <t>Emergency Financial Assistance</t>
  </si>
  <si>
    <t>Food Bank/ Home Delivered Meals</t>
  </si>
  <si>
    <t>Food Voucher</t>
  </si>
  <si>
    <t>Housing</t>
  </si>
  <si>
    <t>Legal Services</t>
  </si>
  <si>
    <t>Linguistic Services</t>
  </si>
  <si>
    <t>Psychosocial Support</t>
  </si>
  <si>
    <t>Substance Abuse- Out Patient</t>
  </si>
  <si>
    <t>0- 100%</t>
  </si>
  <si>
    <t>151- 200%</t>
  </si>
  <si>
    <t>201- 300%</t>
  </si>
  <si>
    <t>301- 400%</t>
  </si>
  <si>
    <t>Check box</t>
  </si>
  <si>
    <t>Substance Abuse- Residential</t>
  </si>
  <si>
    <t>Ryan White</t>
  </si>
  <si>
    <t>Annual Income:</t>
  </si>
  <si>
    <t>Annual Cap:</t>
  </si>
  <si>
    <t>Amount</t>
  </si>
  <si>
    <t xml:space="preserve">Date </t>
  </si>
  <si>
    <t>Description of Expense</t>
  </si>
  <si>
    <t>Today's Date</t>
  </si>
  <si>
    <t xml:space="preserve">12 Month Period used for Determination </t>
  </si>
  <si>
    <t>to</t>
  </si>
  <si>
    <t>Start Date</t>
  </si>
  <si>
    <t>End Date</t>
  </si>
  <si>
    <t xml:space="preserve">Prior 12 Month Period used for Determination </t>
  </si>
  <si>
    <t xml:space="preserve">Total= </t>
  </si>
  <si>
    <t xml:space="preserve">This sheet uses the </t>
  </si>
  <si>
    <t>tab</t>
  </si>
  <si>
    <t xml:space="preserve">This spreadsheet is an aid to the eligibility determination, sliding fee schedule, and annual client cap on </t>
  </si>
  <si>
    <t>You MUST enter the "Household Size" in cell R5</t>
  </si>
  <si>
    <t>The client's income is always entered in column B</t>
  </si>
  <si>
    <t>It is recommended that you name this file something that will be meaningful for future use</t>
  </si>
  <si>
    <t>Enter the Client's Name and/or Case Number in cells A1 and H1 respectively</t>
  </si>
  <si>
    <t>Cells which you can modify have been colored</t>
  </si>
  <si>
    <t>Green- Sliding Fee Percents. Change ONLY if your agency has a different, established sliding fee schedule</t>
  </si>
  <si>
    <t>Med Expenses Tab</t>
  </si>
  <si>
    <t>You may choose to have the "Fees" tab calculate the sliding fees due on any one day for the client</t>
  </si>
  <si>
    <t>Cap Tab</t>
  </si>
  <si>
    <t>"N/A" appears in the boxes if either the household size is not entered or if income exceeds 400% FPL</t>
  </si>
  <si>
    <t>on this day</t>
  </si>
  <si>
    <t>Amount Received</t>
  </si>
  <si>
    <t>Medical Transportation</t>
  </si>
  <si>
    <t>Remaining Cap $:</t>
  </si>
  <si>
    <t>e.g. ClientNameYear "Eligibility", URN Year "Eligibility" or Case# Year "Eligibility"</t>
  </si>
  <si>
    <t xml:space="preserve">Enter the income of all individuals in the household in the appropriate column and line. </t>
  </si>
  <si>
    <t xml:space="preserve">Enter something (either 1 or X works) in column A next to the services the client will receive </t>
  </si>
  <si>
    <t xml:space="preserve">Tab "Med Expenses". Enter any medical out of pocket expenses the client paid that should be taken into account as adjustments in determining income  (i.e. co-payments, insurance premiums, deductibles, etc.) in </t>
  </si>
  <si>
    <t xml:space="preserve">     the Household and Client Income to determine future Ryan White Sliding Fees.</t>
  </si>
  <si>
    <t>Undiscounted Service Fee</t>
  </si>
  <si>
    <t>Enter the RE/Assessment date in cell G7. The beginning date is automatically calculated for you (365 days)</t>
  </si>
  <si>
    <t>Current Re/Assessment Date</t>
  </si>
  <si>
    <t>Enter the description, date and amount of each payment beginning on line 12</t>
  </si>
  <si>
    <t>The total amount (line 46) is automatically transferred to the "Annual" tab and 1/12 of it to the "Monthly" tab</t>
  </si>
  <si>
    <t>The fee for each service (rounded to the nearest dollar) and the total for the day will be shown in the table.</t>
  </si>
  <si>
    <t xml:space="preserve">     the table on this tab. The total will automatically be placed here. Please note that medical expenses taken into account must be within a 12-month period of time before Re/Assessment and is used to calculate </t>
  </si>
  <si>
    <t>RYAN WHITE ELIGIBILITY WORKSHEET</t>
  </si>
  <si>
    <t xml:space="preserve"> (Prior 12 month period)</t>
  </si>
  <si>
    <t>for Ryan White Eligibility Worksheet</t>
  </si>
  <si>
    <t>Client's Out-of-Pocket Medical Expenses Worksheet</t>
  </si>
  <si>
    <t>None</t>
  </si>
  <si>
    <t>&gt;400%</t>
  </si>
  <si>
    <t>N/A</t>
  </si>
  <si>
    <t>&gt;</t>
  </si>
  <si>
    <t xml:space="preserve"> (MCM &amp; ADAP only)</t>
  </si>
  <si>
    <t>(MCM only)</t>
  </si>
  <si>
    <t>Client Adjusted Income</t>
  </si>
  <si>
    <r>
      <t xml:space="preserve">The client's </t>
    </r>
    <r>
      <rPr>
        <u/>
        <sz val="10"/>
        <rFont val="Arial"/>
        <family val="2"/>
      </rPr>
      <t>paid</t>
    </r>
    <r>
      <rPr>
        <sz val="10"/>
        <rFont val="Arial"/>
        <family val="2"/>
      </rPr>
      <t xml:space="preserve"> medical expenses in the past year  may be deducted from the client's income for Fees</t>
    </r>
  </si>
  <si>
    <t>and Cap determination by filling out the "Med Expenses" tab.</t>
  </si>
  <si>
    <t>If #VALUE! appears in the Medical Expenses box (row 45), there is an error on the Med Expenses tab</t>
  </si>
  <si>
    <t>0-100%</t>
  </si>
  <si>
    <t>200-300%</t>
  </si>
  <si>
    <t>300-400%</t>
  </si>
  <si>
    <t>created 11/12</t>
  </si>
  <si>
    <t>Annual Client Cap on Service Charges</t>
  </si>
  <si>
    <t>service charges for your clients</t>
  </si>
  <si>
    <t xml:space="preserve">Rows 10-18. Enter all income from household members in the appropriate columns. Household Income is the aggregate gross income of all members of a household who are 15 years or older.  Household </t>
  </si>
  <si>
    <t xml:space="preserve">Row 19. Enter an "X" in the Client Income column if the client states that they have no family income. In this case, a Zero Income Affidavit (signed and witnessed) is required. NOTE: the affidavit replaces </t>
  </si>
  <si>
    <t xml:space="preserve">     proof of income. In this case the client will be placed in Category 1.</t>
  </si>
  <si>
    <t xml:space="preserve">     is defined in section 31-51 of the CT General Statute: "Individuals who share use of a dwelling unit as primary quarters for living and eating separate from other individuals".</t>
  </si>
  <si>
    <t>Income includes but is not limited to:</t>
  </si>
  <si>
    <t>Adapted from HOWPA/MR</t>
  </si>
  <si>
    <t>I,</t>
  </si>
  <si>
    <t>compensation and severance pay</t>
  </si>
  <si>
    <t>a.  Gross wages, salaries overtime pay, commission, fees, tips and bonuses</t>
  </si>
  <si>
    <t>b.  Net income from operation of a business or from rental or real personal property</t>
  </si>
  <si>
    <t>c.  Interest, dividends and other net income of any kind for real personal property</t>
  </si>
  <si>
    <t>g.  Alimony and/or child support payments</t>
  </si>
  <si>
    <t xml:space="preserve">    income since</t>
  </si>
  <si>
    <t>.  I do not expect to receive income until</t>
  </si>
  <si>
    <t xml:space="preserve">.  I have </t>
  </si>
  <si>
    <t xml:space="preserve"> (date).</t>
  </si>
  <si>
    <t>f.  Payments in lieu of earnings, such as unemployment and disability compensation, worker’s</t>
  </si>
  <si>
    <t>I have stated that during this verification process that I have no income at this time.  I have not received</t>
  </si>
  <si>
    <t xml:space="preserve">, have requested medical and/or support services through the </t>
  </si>
  <si>
    <t xml:space="preserve">Ryan White Program; the Health Resource Service Administration (HRSA) requires verification of </t>
  </si>
  <si>
    <t>total household income*.</t>
  </si>
  <si>
    <t xml:space="preserve">d.  Periodic payments received from Social Security, annuities, insurance policies, retirement </t>
  </si>
  <si>
    <t>funds, pensions, disability or death benefits and other similar types of period receipts</t>
  </si>
  <si>
    <r>
      <t>e.  Lump sum payment(s) for the delay start of a periodic payment</t>
    </r>
    <r>
      <rPr>
        <sz val="11"/>
        <color rgb="FFFF0000"/>
        <rFont val="Calibri"/>
        <family val="2"/>
        <scheme val="minor"/>
      </rPr>
      <t xml:space="preserve"> </t>
    </r>
    <r>
      <rPr>
        <sz val="11"/>
        <rFont val="Calibri"/>
        <family val="2"/>
        <scheme val="minor"/>
      </rPr>
      <t xml:space="preserve">such as SSI or SSDI </t>
    </r>
  </si>
  <si>
    <t>retroactive payments</t>
  </si>
  <si>
    <t xml:space="preserve">h.  Regular pay, special pay and allowances of a head of household or spouse who is a member </t>
  </si>
  <si>
    <t>of the Armed Forces (whether or not living in the dwelling)</t>
  </si>
  <si>
    <t>Note*It is unlawful to provide false information to the government when applying for federal public</t>
  </si>
  <si>
    <t>benefit programs per the Program Fraud Civil Remedies Act of 1986, 31 U.S.C. §§ 3809.</t>
  </si>
  <si>
    <t xml:space="preserve">I certify that the above information is true and correct.  I also understand that it is my responsibility to </t>
  </si>
  <si>
    <t>days of such change.</t>
  </si>
  <si>
    <t xml:space="preserve">I,  </t>
  </si>
  <si>
    <t xml:space="preserve"> am aware that HRSA requires RW Part A &amp; B service providers to charge fees for services (e.g. sliding </t>
  </si>
  <si>
    <t>fee scale and client cap on charges) based on Federal Statue RWA 2605 (e), RWB 2617 (c). At this time I do not have the money</t>
  </si>
  <si>
    <t xml:space="preserve"> to pay the fees for the services I need. I understand that I will not be denied services based on my inability to pay.</t>
  </si>
  <si>
    <t>Witness's Signature</t>
  </si>
  <si>
    <t>Only the individual 100% FPL and the increment for an additional household member is necessary, the</t>
  </si>
  <si>
    <t>If "ADAP and MCM Only" appears in cell M23, the household income is 301-400% FPL</t>
  </si>
  <si>
    <t>If "&gt;400%, MCM Only" appears in cell M23, the household income is &gt;400% FPL</t>
  </si>
  <si>
    <t>Zero Income Tab</t>
  </si>
  <si>
    <t>If the client reports no income, the Zero Income tab is required to be filled out, printed and signed by</t>
  </si>
  <si>
    <t xml:space="preserve">report to my MCM all changes to my household composition or income in writing to within ten (10) business </t>
  </si>
  <si>
    <t xml:space="preserve">Signature: </t>
  </si>
  <si>
    <t xml:space="preserve">Date: </t>
  </si>
  <si>
    <t>Witness:</t>
  </si>
  <si>
    <t>Date:</t>
  </si>
  <si>
    <t>Maximum Yearly CAP Charge to Client</t>
  </si>
  <si>
    <t>the client and MCM. In this case the client is assigned Category 1 for CAP and Fees which</t>
  </si>
  <si>
    <t>services still depends on Household Income.</t>
  </si>
  <si>
    <t>means that no fees may be charged and therefore there is no CAP for this client. Eligibility for</t>
  </si>
  <si>
    <t>Current Year Client Charges</t>
  </si>
  <si>
    <t>Description of Charges</t>
  </si>
  <si>
    <t>Total Charged to Date</t>
  </si>
  <si>
    <t>Agency (Abbr)</t>
  </si>
  <si>
    <t>Blue- data entry for this client on all tabs</t>
  </si>
  <si>
    <t>101-138%</t>
  </si>
  <si>
    <t>139-150%</t>
  </si>
  <si>
    <t>Adjusted Gross Income (Federal Tax Form)</t>
  </si>
  <si>
    <t>101- 138%</t>
  </si>
  <si>
    <t>139- 150%</t>
  </si>
  <si>
    <t>Household Member 1</t>
  </si>
  <si>
    <t>Household Member 2</t>
  </si>
  <si>
    <t>Household Member 3</t>
  </si>
  <si>
    <t>Household Member 4</t>
  </si>
  <si>
    <t>Other Household Members</t>
  </si>
  <si>
    <t>Rehab</t>
  </si>
  <si>
    <t>Detox</t>
  </si>
  <si>
    <t>Each client must have their own file so Before you begin, please change the  name of this file</t>
  </si>
  <si>
    <t xml:space="preserve"> by using "Save As".</t>
  </si>
  <si>
    <t>Household income and FPL will be shown in cells B24 and M24 respectively</t>
  </si>
  <si>
    <t>Client's Income and Household Size are on line 46</t>
  </si>
  <si>
    <t xml:space="preserve">    applied for other financial assistance on</t>
  </si>
  <si>
    <t>Cat 4</t>
  </si>
  <si>
    <t>Cat 3</t>
  </si>
  <si>
    <t>Cat 2</t>
  </si>
  <si>
    <t>Cat 1</t>
  </si>
  <si>
    <t>Cat 5</t>
  </si>
  <si>
    <t>Cat 6</t>
  </si>
  <si>
    <t>Agency Initials</t>
  </si>
  <si>
    <t>Enter your Agency's Initials in cell O1</t>
  </si>
  <si>
    <t>You may change the date in J1 if services were delivered on a day different from today.</t>
  </si>
  <si>
    <t xml:space="preserve">Enter either the name or the case number in A1 or E1 respectively. </t>
  </si>
  <si>
    <t>Enter your Agency's Initials in H1</t>
  </si>
  <si>
    <t>Each of the completed tabs can be printed and placed in the client file. They also can be "saved as" a PDF</t>
  </si>
  <si>
    <t>file so they can be attached to the client record in CAREWare.</t>
  </si>
  <si>
    <t>Cap Category</t>
  </si>
  <si>
    <t>Eligibility</t>
  </si>
  <si>
    <t>RYAN WHITE ELIGIBILITY RECERTIFICATION</t>
  </si>
  <si>
    <t>rest of the table is calculated from this.</t>
  </si>
  <si>
    <t>You can only change the Sliding Fee Percents on the Eligibility tab, which will change all other tabs</t>
  </si>
  <si>
    <t xml:space="preserve">Eligibility Tab Printed Page 1 </t>
  </si>
  <si>
    <t>You can enter formulas in the cells to adjust the dollar amounts that you have to an annual total</t>
  </si>
  <si>
    <t>e.g. biweekly paycheck amounts must be multiplied by 26  '=net amount*26'</t>
  </si>
  <si>
    <t>Client's Annual Cap on Charges is on line 50</t>
  </si>
  <si>
    <t>Sliding Fee Percent</t>
  </si>
  <si>
    <t>EligReCert Tab Printed Page 1</t>
  </si>
  <si>
    <t xml:space="preserve">These last three can be found in the highest numbered "cap" file as an attachment in CAREWare on </t>
  </si>
  <si>
    <t>The client's first eligibility determination of the year is entered on the "Eligibility" tab</t>
  </si>
  <si>
    <t>while monthly income must be multiplied by 12 '=net amount*12'</t>
  </si>
  <si>
    <t xml:space="preserve">You must at a minimum, fill out the Start Date that you are using to keep track of the fees and other </t>
  </si>
  <si>
    <t xml:space="preserve">medical expenses that are CHARGED (not necessarily paid) by your client during the upcoming </t>
  </si>
  <si>
    <t>year to ensure that the CHARGES do not exceed the Annual Client Cap for the client.</t>
  </si>
  <si>
    <r>
      <t xml:space="preserve">Enter the start date of the Determination year (begins the day </t>
    </r>
    <r>
      <rPr>
        <b/>
        <u/>
        <sz val="10"/>
        <rFont val="Arial"/>
        <family val="2"/>
      </rPr>
      <t>OF</t>
    </r>
    <r>
      <rPr>
        <sz val="10"/>
        <rFont val="Arial"/>
        <family val="2"/>
      </rPr>
      <t xml:space="preserve"> Determination) in cell D6. </t>
    </r>
  </si>
  <si>
    <t>Enter the description, date, your Agency's initials and amount of each charge (beginning on line 19)</t>
  </si>
  <si>
    <t>The total charged to the client and the remaining amount before reaching the cap are shown in row 15</t>
  </si>
  <si>
    <t>If the client pays some or all of the fees, please fill out the signatures and amount PAID on line 37</t>
  </si>
  <si>
    <t>If the client is unable to pay the fees, please enter $0 in K37 and provide signatures on line 45</t>
  </si>
  <si>
    <t>Enter the "Total Charged to Date" and "Remaining Cap" in D6 and I6, respectively</t>
  </si>
  <si>
    <t>The rest of this tab is filled out exactly as the Fees tab.</t>
  </si>
  <si>
    <t>Again please choose the appropriate signature line and include the amount received from the client.</t>
  </si>
  <si>
    <t>Sliding Fee Charges for Ryan White Services</t>
  </si>
  <si>
    <t>Eligibility Tab Printed Page 2 Client Cap and Sliding Fee Charge Determination</t>
  </si>
  <si>
    <t>Clients Sliding Fee Charge Schedule is on line 52</t>
  </si>
  <si>
    <t>Charges Tab</t>
  </si>
  <si>
    <t>AddCharges Tab</t>
  </si>
  <si>
    <t>Annual Client Cap Category</t>
  </si>
  <si>
    <t>Sliding Fee Charges Category</t>
  </si>
  <si>
    <t xml:space="preserve">responsibility to ensure that all charges (from their own Agency, another Ryan White funded </t>
  </si>
  <si>
    <t xml:space="preserve">Agency, or a third party) to the client for services are included in the Cap Tab until the Annual </t>
  </si>
  <si>
    <t xml:space="preserve">Client Cap is reached. After that, no fees may be charged until the next determination period </t>
  </si>
  <si>
    <t xml:space="preserve">Page 2 will automatically determine the Annual Client Cap on Charges and the Sliding Fee Charge </t>
  </si>
  <si>
    <r>
      <t xml:space="preserve">Percent based on the </t>
    </r>
    <r>
      <rPr>
        <b/>
        <u/>
        <sz val="10"/>
        <rFont val="Arial"/>
        <family val="2"/>
      </rPr>
      <t>Client's Income</t>
    </r>
    <r>
      <rPr>
        <sz val="10"/>
        <rFont val="Arial"/>
        <family val="2"/>
      </rPr>
      <t xml:space="preserve"> and Household Size.</t>
    </r>
  </si>
  <si>
    <t xml:space="preserve"> am aware that HRSA requires RW Part A &amp; B service providers to charge fees </t>
  </si>
  <si>
    <t xml:space="preserve">for services (e.g. sliding fee scale and client cap on charges) based on Federal Statue RWA 2605 (e), </t>
  </si>
  <si>
    <t xml:space="preserve">RWB 2617 (c). At this time I do not have the money to pay the fees for the services I need. I understand </t>
  </si>
  <si>
    <t>that I will not be denied services based on my inability to pay.</t>
  </si>
  <si>
    <t xml:space="preserve">If you have trouble printing the forms please set the margins to Top/Bottom= .5", Left/Right= .5" or set the </t>
  </si>
  <si>
    <t>custom scaling to "fit sheet on one page" for all BUT the Eligibility tab.</t>
  </si>
  <si>
    <t>Total Charges Today</t>
  </si>
  <si>
    <t>Self-employment (Federal Tax Return w/schedule C)</t>
  </si>
  <si>
    <t>page 1</t>
  </si>
  <si>
    <t xml:space="preserve">It is the MCM's or person of first contact before the client accepts an MCM (e.g. TCM,EIS, MAI, MAP) </t>
  </si>
  <si>
    <t>There is space for 24 charges on the form. In the event that a client accrues more than that you will</t>
  </si>
  <si>
    <t xml:space="preserve">begins. You can then print the Charges tab showing $0.00 in the "Remaining Cap $:" field and </t>
  </si>
  <si>
    <t xml:space="preserve">Total Charged To Date (including the old charges total) will show in cell B15. Finally change the </t>
  </si>
  <si>
    <t xml:space="preserve">give it (or more than one page if necessary) to the client as documentation that they should not </t>
  </si>
  <si>
    <t>be charged any more fees for the rest of the Determination Year.</t>
  </si>
  <si>
    <t xml:space="preserve">If you are not the MCM of the client (e.g. the client has been referred to you) you can use the </t>
  </si>
  <si>
    <t>AddCharges tab to track any fees you charge to the client.</t>
  </si>
  <si>
    <r>
      <t xml:space="preserve">The filename convention for the tab PDF is: </t>
    </r>
    <r>
      <rPr>
        <b/>
        <sz val="10"/>
        <rFont val="Arial"/>
        <family val="2"/>
      </rPr>
      <t>first</t>
    </r>
    <r>
      <rPr>
        <sz val="10"/>
        <rFont val="Arial"/>
        <family val="2"/>
      </rPr>
      <t xml:space="preserve"> and</t>
    </r>
    <r>
      <rPr>
        <b/>
        <sz val="10"/>
        <rFont val="Arial"/>
        <family val="2"/>
      </rPr>
      <t xml:space="preserve"> third</t>
    </r>
    <r>
      <rPr>
        <sz val="10"/>
        <rFont val="Arial"/>
        <family val="2"/>
      </rPr>
      <t xml:space="preserve"> letter of the </t>
    </r>
    <r>
      <rPr>
        <b/>
        <sz val="10"/>
        <rFont val="Arial"/>
        <family val="2"/>
      </rPr>
      <t>first name</t>
    </r>
    <r>
      <rPr>
        <sz val="10"/>
        <rFont val="Arial"/>
        <family val="2"/>
      </rPr>
      <t xml:space="preserve">, </t>
    </r>
    <r>
      <rPr>
        <b/>
        <sz val="10"/>
        <rFont val="Arial"/>
        <family val="2"/>
      </rPr>
      <t>first</t>
    </r>
    <r>
      <rPr>
        <sz val="10"/>
        <rFont val="Arial"/>
        <family val="2"/>
      </rPr>
      <t xml:space="preserve"> and </t>
    </r>
    <r>
      <rPr>
        <b/>
        <sz val="10"/>
        <rFont val="Arial"/>
        <family val="2"/>
      </rPr>
      <t>third</t>
    </r>
    <r>
      <rPr>
        <sz val="10"/>
        <rFont val="Arial"/>
        <family val="2"/>
      </rPr>
      <t xml:space="preserve"> letter of the </t>
    </r>
  </si>
  <si>
    <r>
      <rPr>
        <b/>
        <sz val="10"/>
        <rFont val="Arial"/>
        <family val="2"/>
      </rPr>
      <t>last name</t>
    </r>
    <r>
      <rPr>
        <sz val="10"/>
        <rFont val="Arial"/>
        <family val="2"/>
      </rPr>
      <t xml:space="preserve">, year in which the Cap period </t>
    </r>
    <r>
      <rPr>
        <b/>
        <sz val="10"/>
        <rFont val="Arial"/>
        <family val="2"/>
      </rPr>
      <t>starts</t>
    </r>
    <r>
      <rPr>
        <sz val="10"/>
        <rFont val="Arial"/>
        <family val="2"/>
      </rPr>
      <t xml:space="preserve">, the </t>
    </r>
    <r>
      <rPr>
        <b/>
        <sz val="10"/>
        <rFont val="Arial"/>
        <family val="2"/>
      </rPr>
      <t>tab name</t>
    </r>
    <r>
      <rPr>
        <sz val="10"/>
        <rFont val="Arial"/>
        <family val="2"/>
      </rPr>
      <t xml:space="preserve"> followed by the number of the file.</t>
    </r>
  </si>
  <si>
    <t>PFD copies of the tabs</t>
  </si>
  <si>
    <t>All completed forms (including typed signatures) should be converted into PDF files and attached to the</t>
  </si>
  <si>
    <t>client's record in CAREWare.</t>
  </si>
  <si>
    <r>
      <t xml:space="preserve">Please go to the “File” tab at the top of the Excel window and click on “Save As”. It is </t>
    </r>
    <r>
      <rPr>
        <b/>
        <u/>
        <sz val="11"/>
        <rFont val="Calibri"/>
        <family val="2"/>
      </rPr>
      <t>VERY</t>
    </r>
    <r>
      <rPr>
        <sz val="11"/>
        <rFont val="Calibri"/>
        <family val="2"/>
      </rPr>
      <t xml:space="preserve"> important </t>
    </r>
  </si>
  <si>
    <t xml:space="preserve">that you know where (what folder) you will save this file because you will have to find it again in </t>
  </si>
  <si>
    <t xml:space="preserve">please enter the file name according to the filenaming convention explained above. Please do </t>
  </si>
  <si>
    <t xml:space="preserve">not put spaces in the filename as this distorts the alphabetical listing by the computer. </t>
  </si>
  <si>
    <r>
      <t xml:space="preserve">If you save the PDF file with the wrong number at the end of the name </t>
    </r>
    <r>
      <rPr>
        <b/>
        <u/>
        <sz val="11"/>
        <rFont val="Calibri"/>
        <family val="2"/>
      </rPr>
      <t>please rename</t>
    </r>
    <r>
      <rPr>
        <sz val="11"/>
        <rFont val="Calibri"/>
        <family val="2"/>
      </rPr>
      <t xml:space="preserve"> the file after </t>
    </r>
  </si>
  <si>
    <t xml:space="preserve">checking in CW for the highest numbered file of that type (tab name) before you attach the file. </t>
  </si>
  <si>
    <t xml:space="preserve">It is important that we be able to identify the newest files correctly. </t>
  </si>
  <si>
    <t xml:space="preserve">down box and near the bottom of the list click on “PDF (*.pdf)”. In the “File name:” field </t>
  </si>
  <si>
    <t>order to attach it in CW! At the bottom of the “Save As” window, open the “Save as Type:” drop</t>
  </si>
  <si>
    <t>Choose  the "Sliding Fee Category" in C10 from the drop down box</t>
  </si>
  <si>
    <t>the "Custom Tab 1" (or "Part B State" tab) in the client file.</t>
  </si>
  <si>
    <t/>
  </si>
  <si>
    <t xml:space="preserve">Brown- Undiscounted Service Fees. Change ONLY if your agency has a different, established undiscounted </t>
  </si>
  <si>
    <t>Health Insurance Cost Sharing</t>
  </si>
  <si>
    <t xml:space="preserve">Now delete all the old charges and enter your new charge in line 20. The new </t>
  </si>
  <si>
    <t xml:space="preserve">"page" number to "2" in cell A44. </t>
  </si>
  <si>
    <t xml:space="preserve">have to start a second form. To do this write down the amount that already shows in the "Total" </t>
  </si>
  <si>
    <t xml:space="preserve">cell at the bottom. Go to line 19. Under "Description of Charges" enter "Sum of previous </t>
  </si>
  <si>
    <t xml:space="preserve">charges against cap". Under "Agency (Abbr)" enter your agency initials, under "Date" enter </t>
  </si>
  <si>
    <t xml:space="preserve">today's date and under "Amount" enter the total of the charges that you just noted. </t>
  </si>
  <si>
    <t xml:space="preserve">A copy of this sheet should go into the client's file to verify charges. These charges can then be entered </t>
  </si>
  <si>
    <t>into the Cap Tab to track charges.</t>
  </si>
  <si>
    <t>For users of Microsoft Office 2010 or newer versions</t>
  </si>
  <si>
    <t>We only want the Eligibility and EligReCert tabs to be attached to the client's CW record (this is in</t>
  </si>
  <si>
    <t xml:space="preserve">addition to the proof of HIV+ status, CAREWare Data Sharing form, and any ROI's you have for </t>
  </si>
  <si>
    <t>this client).</t>
  </si>
  <si>
    <r>
      <t xml:space="preserve">Client Thomas Smith would initially have files named </t>
    </r>
    <r>
      <rPr>
        <b/>
        <sz val="10"/>
        <rFont val="Arial"/>
        <family val="2"/>
      </rPr>
      <t>TOSI2013Eligibility1</t>
    </r>
    <r>
      <rPr>
        <sz val="10"/>
        <rFont val="Arial"/>
        <family val="2"/>
      </rPr>
      <t xml:space="preserve">, </t>
    </r>
    <r>
      <rPr>
        <b/>
        <sz val="10"/>
        <rFont val="Arial"/>
        <family val="2"/>
      </rPr>
      <t xml:space="preserve">TOSI2013HIV+, </t>
    </r>
  </si>
  <si>
    <r>
      <rPr>
        <b/>
        <sz val="10"/>
        <rFont val="Arial"/>
        <family val="2"/>
      </rPr>
      <t>TOSI2013CWConsent</t>
    </r>
    <r>
      <rPr>
        <sz val="10"/>
        <rFont val="Arial"/>
        <family val="2"/>
      </rPr>
      <t>.</t>
    </r>
  </si>
  <si>
    <t>Purple- The new year's Poverty Guidelines may be entered on the Eligibility tab to update all the tables.</t>
  </si>
  <si>
    <t>service fee for a particular service. You can only change the Service Fees on the Charges.</t>
  </si>
  <si>
    <t>Revised by RW Part A 2/24/16 / attestation clause</t>
  </si>
  <si>
    <t>Attestation</t>
  </si>
  <si>
    <t xml:space="preserve"> </t>
  </si>
  <si>
    <t>Attestation Date</t>
  </si>
  <si>
    <t>Fill out the same as with the Eligibility tab but this tab is used for redetermination of eligibility</t>
  </si>
  <si>
    <r>
      <t xml:space="preserve">after the Eligibility tab. </t>
    </r>
    <r>
      <rPr>
        <b/>
        <sz val="10"/>
        <color rgb="FFFF0000"/>
        <rFont val="Arial"/>
        <family val="2"/>
      </rPr>
      <t>(Verbal Attestation :- if there are no changes in the clients income at the annual redetermination, the client can verbally attest to no said changes and this will suffice as acceptable financial proof per HRSA</t>
    </r>
    <r>
      <rPr>
        <sz val="10"/>
        <color rgb="FFFF0000"/>
        <rFont val="Arial"/>
        <family val="2"/>
      </rPr>
      <t>)</t>
    </r>
    <r>
      <rPr>
        <sz val="10"/>
        <rFont val="Arial"/>
        <family val="2"/>
      </rPr>
      <t xml:space="preserve">. This does </t>
    </r>
    <r>
      <rPr>
        <b/>
        <sz val="10"/>
        <rFont val="Arial"/>
        <family val="2"/>
      </rPr>
      <t>NOT</t>
    </r>
    <r>
      <rPr>
        <sz val="10"/>
        <rFont val="Arial"/>
        <family val="2"/>
      </rPr>
      <t xml:space="preserve"> affect the existing Annual Cap on Charges but may affect  the eligibility for Ryan White services depending on income and household size changes.</t>
    </r>
  </si>
  <si>
    <t>Ryan White Program Zero Income Affidavit</t>
  </si>
  <si>
    <t>Revised by RW Part A 1/30/25 / Federal Poverty Level</t>
  </si>
  <si>
    <t>based on 2025 HHS FPL Guidelines (https://aspe.hhs.gov/topics/poverty-economic-mobility/poverty-guidelines)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</si>
</sst>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3" formatCode="_(* #,##0.00_);_(* \(#,##0.00\);_(* &quot;-&quot;??_);_(@_)"/>
    <numFmt numFmtId="164" formatCode="[$-409]mmmm\ d\,\ yyyy;@"/>
    <numFmt numFmtId="165" formatCode="&quot;$&quot;#,##0"/>
    <numFmt numFmtId="166" formatCode="&quot;$&quot;#,##0.00"/>
    <numFmt numFmtId="167" formatCode="m/d/yy;@"/>
    <numFmt numFmtId="168" formatCode="0.0%"/>
  </numFmts>
  <fonts count="31" x14ac:knownFonts="1">
    <font>
      <sz val="10"/>
      <name val="Arial"/>
    </font>
    <font>
      <sz val="10"/>
      <name val="Arial"/>
      <family val="2"/>
    </font>
    <font>
      <sz val="10"/>
      <name val="Arial"/>
      <family val="2"/>
    </font>
    <font>
      <sz val="20"/>
      <name val="Arial"/>
      <family val="2"/>
    </font>
    <font>
      <b/>
      <sz val="10"/>
      <name val="Arial"/>
      <family val="2"/>
    </font>
    <font>
      <sz val="14"/>
      <name val="Arial"/>
      <family val="2"/>
    </font>
    <font>
      <sz val="12"/>
      <name val="Arial"/>
      <family val="2"/>
    </font>
    <font>
      <sz val="18"/>
      <name val="Arial"/>
      <family val="2"/>
    </font>
    <font>
      <sz val="8"/>
      <name val="Arial"/>
      <family val="2"/>
    </font>
    <font>
      <sz val="6"/>
      <name val="Arial"/>
      <family val="2"/>
    </font>
    <font>
      <b/>
      <u/>
      <sz val="10"/>
      <name val="Arial"/>
      <family val="2"/>
    </font>
    <font>
      <u/>
      <sz val="10"/>
      <name val="Arial"/>
      <family val="2"/>
    </font>
    <font>
      <b/>
      <sz val="18"/>
      <name val="Arial"/>
      <family val="2"/>
    </font>
    <font>
      <sz val="10"/>
      <color rgb="FFFF0000"/>
      <name val="Arial"/>
      <family val="2"/>
    </font>
    <font>
      <sz val="14"/>
      <color rgb="FFFF0000"/>
      <name val="Arial"/>
      <family val="2"/>
    </font>
    <font>
      <sz val="10"/>
      <color rgb="FF0000FF"/>
      <name val="Arial"/>
      <family val="2"/>
    </font>
    <font>
      <sz val="12"/>
      <color rgb="FFFF0000"/>
      <name val="Arial"/>
      <family val="2"/>
    </font>
    <font>
      <b/>
      <sz val="14"/>
      <name val="Calibri"/>
      <family val="2"/>
    </font>
    <font>
      <sz val="12"/>
      <name val="Calibri"/>
      <family val="2"/>
    </font>
    <font>
      <sz val="8"/>
      <name val="Times New Roman"/>
      <family val="1"/>
    </font>
    <font>
      <sz val="10"/>
      <name val="Calibri"/>
      <family val="2"/>
    </font>
    <font>
      <sz val="11"/>
      <name val="Calibri"/>
      <family val="2"/>
      <scheme val="minor"/>
    </font>
    <font>
      <sz val="11"/>
      <color rgb="FFFF0000"/>
      <name val="Calibri"/>
      <family val="2"/>
      <scheme val="minor"/>
    </font>
    <font>
      <i/>
      <sz val="11"/>
      <name val="Calibri"/>
      <family val="2"/>
      <scheme val="minor"/>
    </font>
    <font>
      <sz val="10"/>
      <name val="Lucida Calligraphy"/>
      <family val="4"/>
    </font>
    <font>
      <sz val="11"/>
      <name val="Lucida Calligraphy"/>
      <family val="4"/>
    </font>
    <font>
      <sz val="10"/>
      <name val="Arial"/>
      <family val="2"/>
    </font>
    <font>
      <sz val="12"/>
      <name val="Lucida Calligraphy"/>
      <family val="4"/>
    </font>
    <font>
      <sz val="11"/>
      <name val="Calibri"/>
      <family val="2"/>
    </font>
    <font>
      <b/>
      <u/>
      <sz val="11"/>
      <name val="Calibri"/>
      <family val="2"/>
    </font>
    <font>
      <b/>
      <sz val="10"/>
      <color rgb="FFFF000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CCFF99"/>
        <bgColor indexed="64"/>
      </patternFill>
    </fill>
    <fill>
      <patternFill patternType="solid">
        <fgColor rgb="FFFFCCFF"/>
        <bgColor indexed="64"/>
      </patternFill>
    </fill>
    <fill>
      <patternFill patternType="solid">
        <fgColor rgb="FFFFCC99"/>
        <bgColor indexed="64"/>
      </patternFill>
    </fill>
    <fill>
      <patternFill patternType="solid">
        <fgColor rgb="FFFFCC99"/>
        <bgColor rgb="FFFFCC99"/>
      </patternFill>
    </fill>
    <fill>
      <patternFill patternType="solid">
        <fgColor rgb="FFFFFF00"/>
        <bgColor indexed="64"/>
      </patternFill>
    </fill>
  </fills>
  <borders count="88">
    <border>
      <left/>
      <right/>
      <top/>
      <bottom/>
      <diagonal/>
    </border>
    <border>
      <left/>
      <right/>
      <top/>
      <bottom style="thick">
        <color indexed="64"/>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medium">
        <color indexed="64"/>
      </right>
      <top style="medium">
        <color indexed="64"/>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diagonal/>
    </border>
    <border>
      <left/>
      <right style="thick">
        <color indexed="64"/>
      </right>
      <top style="thick">
        <color indexed="64"/>
      </top>
      <bottom/>
      <diagonal/>
    </border>
    <border>
      <left style="thick">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thin">
        <color indexed="64"/>
      </top>
      <bottom style="thick">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medium">
        <color indexed="64"/>
      </top>
      <bottom/>
      <diagonal/>
    </border>
    <border>
      <left style="medium">
        <color indexed="64"/>
      </left>
      <right style="medium">
        <color indexed="64"/>
      </right>
      <top/>
      <bottom/>
      <diagonal/>
    </border>
    <border>
      <left style="medium">
        <color indexed="64"/>
      </left>
      <right style="thick">
        <color indexed="64"/>
      </right>
      <top/>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style="thick">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diagonal/>
    </border>
    <border>
      <left style="medium">
        <color indexed="64"/>
      </left>
      <right style="thick">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43" fontId="26" fillId="0" borderId="0" applyFont="0" applyFill="0" applyBorder="0" applyAlignment="0" applyProtection="0"/>
  </cellStyleXfs>
  <cellXfs count="527">
    <xf numFmtId="0" fontId="0" fillId="0" borderId="0" xfId="0"/>
    <xf numFmtId="3" fontId="0" fillId="0" borderId="0" xfId="0" applyNumberFormat="1"/>
    <xf numFmtId="3" fontId="0" fillId="0" borderId="0" xfId="0" applyNumberFormat="1" applyAlignment="1">
      <alignment horizontal="center"/>
    </xf>
    <xf numFmtId="3" fontId="0" fillId="0" borderId="0" xfId="0" quotePrefix="1" applyNumberFormat="1" applyAlignment="1">
      <alignment horizontal="center"/>
    </xf>
    <xf numFmtId="3" fontId="0" fillId="0" borderId="0" xfId="0" quotePrefix="1" applyNumberFormat="1"/>
    <xf numFmtId="3" fontId="0" fillId="0" borderId="0" xfId="0" quotePrefix="1" applyNumberFormat="1" applyAlignment="1">
      <alignment horizontal="right"/>
    </xf>
    <xf numFmtId="3" fontId="2" fillId="0" borderId="0" xfId="0" applyNumberFormat="1" applyFont="1"/>
    <xf numFmtId="3" fontId="2" fillId="0" borderId="0" xfId="0" applyNumberFormat="1" applyFont="1" applyAlignment="1">
      <alignment wrapText="1"/>
    </xf>
    <xf numFmtId="9" fontId="0" fillId="0" borderId="0" xfId="0" applyNumberFormat="1" applyAlignment="1">
      <alignment horizontal="center"/>
    </xf>
    <xf numFmtId="3" fontId="0" fillId="0" borderId="1" xfId="0" applyNumberFormat="1" applyBorder="1"/>
    <xf numFmtId="3" fontId="2" fillId="0" borderId="0" xfId="0" applyNumberFormat="1" applyFont="1" applyAlignment="1">
      <alignment horizontal="center"/>
    </xf>
    <xf numFmtId="3" fontId="0" fillId="0" borderId="0" xfId="0" applyNumberFormat="1" applyAlignment="1">
      <alignment horizontal="center" vertical="center"/>
    </xf>
    <xf numFmtId="3" fontId="0" fillId="0" borderId="2" xfId="0" applyNumberFormat="1" applyBorder="1"/>
    <xf numFmtId="3" fontId="2" fillId="0" borderId="0" xfId="0" quotePrefix="1" applyNumberFormat="1" applyFont="1"/>
    <xf numFmtId="3" fontId="2" fillId="0" borderId="3" xfId="0" applyNumberFormat="1" applyFont="1" applyBorder="1"/>
    <xf numFmtId="3" fontId="0" fillId="0" borderId="4" xfId="0" applyNumberFormat="1" applyBorder="1"/>
    <xf numFmtId="3" fontId="0" fillId="0" borderId="5" xfId="0" applyNumberFormat="1" applyBorder="1"/>
    <xf numFmtId="3" fontId="0" fillId="0" borderId="6" xfId="0" applyNumberFormat="1" applyBorder="1" applyAlignment="1">
      <alignment horizontal="center"/>
    </xf>
    <xf numFmtId="3" fontId="0" fillId="0" borderId="6" xfId="0" applyNumberFormat="1" applyBorder="1"/>
    <xf numFmtId="3" fontId="0" fillId="0" borderId="7" xfId="0" applyNumberFormat="1" applyBorder="1"/>
    <xf numFmtId="3" fontId="0" fillId="0" borderId="8" xfId="0" applyNumberFormat="1" applyBorder="1"/>
    <xf numFmtId="3" fontId="2" fillId="0" borderId="9" xfId="0" applyNumberFormat="1" applyFont="1" applyBorder="1"/>
    <xf numFmtId="3" fontId="0" fillId="0" borderId="10" xfId="0" applyNumberFormat="1" applyBorder="1"/>
    <xf numFmtId="3" fontId="0" fillId="0" borderId="11" xfId="0" applyNumberFormat="1" applyBorder="1"/>
    <xf numFmtId="3" fontId="0" fillId="0" borderId="9" xfId="0" applyNumberFormat="1" applyBorder="1"/>
    <xf numFmtId="3" fontId="0" fillId="0" borderId="10" xfId="0" applyNumberFormat="1" applyBorder="1" applyAlignment="1">
      <alignment horizontal="center"/>
    </xf>
    <xf numFmtId="3" fontId="2" fillId="0" borderId="10" xfId="0" applyNumberFormat="1" applyFont="1" applyBorder="1" applyAlignment="1">
      <alignment wrapText="1"/>
    </xf>
    <xf numFmtId="3" fontId="0" fillId="0" borderId="12" xfId="0" applyNumberFormat="1" applyBorder="1"/>
    <xf numFmtId="3" fontId="2" fillId="0" borderId="4" xfId="0" applyNumberFormat="1" applyFont="1" applyBorder="1" applyAlignment="1">
      <alignment wrapText="1"/>
    </xf>
    <xf numFmtId="3" fontId="2" fillId="0" borderId="5" xfId="0" applyNumberFormat="1" applyFont="1" applyBorder="1" applyAlignment="1">
      <alignment wrapText="1"/>
    </xf>
    <xf numFmtId="3" fontId="2" fillId="0" borderId="13" xfId="0" applyNumberFormat="1" applyFont="1" applyBorder="1"/>
    <xf numFmtId="3" fontId="2" fillId="0" borderId="14" xfId="0" applyNumberFormat="1" applyFont="1" applyBorder="1" applyAlignment="1">
      <alignment wrapText="1"/>
    </xf>
    <xf numFmtId="3" fontId="0" fillId="0" borderId="15" xfId="0" applyNumberFormat="1" applyBorder="1"/>
    <xf numFmtId="3" fontId="0" fillId="0" borderId="16" xfId="0" applyNumberFormat="1" applyBorder="1"/>
    <xf numFmtId="3" fontId="3" fillId="0" borderId="5" xfId="0" applyNumberFormat="1" applyFont="1" applyBorder="1" applyAlignment="1">
      <alignment horizontal="left" vertical="center"/>
    </xf>
    <xf numFmtId="3" fontId="0" fillId="0" borderId="3" xfId="0" applyNumberFormat="1" applyBorder="1"/>
    <xf numFmtId="3" fontId="3" fillId="0" borderId="5" xfId="0" applyNumberFormat="1" applyFont="1" applyBorder="1"/>
    <xf numFmtId="3" fontId="2" fillId="0" borderId="17" xfId="0" applyNumberFormat="1" applyFont="1" applyBorder="1"/>
    <xf numFmtId="3" fontId="2" fillId="0" borderId="17" xfId="0" applyNumberFormat="1" applyFont="1" applyBorder="1" applyAlignment="1">
      <alignment wrapText="1"/>
    </xf>
    <xf numFmtId="3" fontId="13" fillId="0" borderId="0" xfId="0" applyNumberFormat="1" applyFont="1"/>
    <xf numFmtId="3" fontId="4" fillId="0" borderId="0" xfId="0" applyNumberFormat="1" applyFont="1"/>
    <xf numFmtId="0" fontId="0" fillId="0" borderId="0" xfId="0" applyAlignment="1">
      <alignment horizontal="center"/>
    </xf>
    <xf numFmtId="3" fontId="5" fillId="0" borderId="0" xfId="0" applyNumberFormat="1" applyFont="1" applyAlignment="1">
      <alignment horizontal="centerContinuous"/>
    </xf>
    <xf numFmtId="3" fontId="6" fillId="0" borderId="0" xfId="0" applyNumberFormat="1" applyFont="1" applyAlignment="1">
      <alignment horizontal="centerContinuous"/>
    </xf>
    <xf numFmtId="3" fontId="0" fillId="2" borderId="18" xfId="0" applyNumberFormat="1" applyFill="1" applyBorder="1"/>
    <xf numFmtId="3" fontId="0" fillId="2" borderId="19" xfId="0" applyNumberFormat="1" applyFill="1" applyBorder="1"/>
    <xf numFmtId="3" fontId="2" fillId="2" borderId="20" xfId="0" applyNumberFormat="1" applyFont="1" applyFill="1" applyBorder="1"/>
    <xf numFmtId="3" fontId="2" fillId="2" borderId="20" xfId="0" applyNumberFormat="1" applyFont="1" applyFill="1" applyBorder="1" applyAlignment="1">
      <alignment wrapText="1"/>
    </xf>
    <xf numFmtId="3" fontId="2" fillId="0" borderId="21" xfId="0" applyNumberFormat="1" applyFont="1" applyBorder="1" applyAlignment="1">
      <alignment wrapText="1"/>
    </xf>
    <xf numFmtId="3" fontId="5" fillId="0" borderId="22" xfId="0" applyNumberFormat="1" applyFont="1" applyBorder="1" applyAlignment="1">
      <alignment horizontal="center" vertical="center"/>
    </xf>
    <xf numFmtId="3" fontId="5" fillId="0" borderId="23" xfId="0" applyNumberFormat="1" applyFont="1" applyBorder="1" applyAlignment="1">
      <alignment vertical="center" wrapText="1"/>
    </xf>
    <xf numFmtId="3" fontId="8" fillId="0" borderId="0" xfId="0" applyNumberFormat="1" applyFont="1"/>
    <xf numFmtId="3" fontId="2" fillId="0" borderId="21" xfId="0" applyNumberFormat="1" applyFont="1" applyBorder="1"/>
    <xf numFmtId="3" fontId="2" fillId="0" borderId="24" xfId="0" applyNumberFormat="1" applyFont="1" applyBorder="1"/>
    <xf numFmtId="3" fontId="0" fillId="0" borderId="25" xfId="0" applyNumberFormat="1" applyBorder="1"/>
    <xf numFmtId="3" fontId="2" fillId="0" borderId="4" xfId="0" applyNumberFormat="1" applyFont="1" applyBorder="1"/>
    <xf numFmtId="3" fontId="3" fillId="0" borderId="0" xfId="0" applyNumberFormat="1" applyFont="1" applyAlignment="1">
      <alignment horizontal="left" vertical="center"/>
    </xf>
    <xf numFmtId="3" fontId="3" fillId="0" borderId="0" xfId="0" applyNumberFormat="1" applyFont="1"/>
    <xf numFmtId="0" fontId="0" fillId="0" borderId="0" xfId="0" applyAlignment="1">
      <alignment vertical="center"/>
    </xf>
    <xf numFmtId="164" fontId="0" fillId="0" borderId="0" xfId="0" applyNumberFormat="1" applyAlignment="1">
      <alignment horizontal="center"/>
    </xf>
    <xf numFmtId="3" fontId="0" fillId="0" borderId="26" xfId="0" applyNumberFormat="1" applyBorder="1"/>
    <xf numFmtId="3" fontId="0" fillId="0" borderId="27" xfId="0" applyNumberFormat="1" applyBorder="1" applyAlignment="1">
      <alignment horizontal="center"/>
    </xf>
    <xf numFmtId="3" fontId="0" fillId="0" borderId="28" xfId="0" applyNumberFormat="1" applyBorder="1"/>
    <xf numFmtId="3" fontId="9" fillId="0" borderId="0" xfId="0" applyNumberFormat="1" applyFont="1"/>
    <xf numFmtId="0" fontId="0" fillId="0" borderId="0" xfId="0" applyAlignment="1">
      <alignment horizontal="center" vertical="center"/>
    </xf>
    <xf numFmtId="0" fontId="0" fillId="0" borderId="20" xfId="0" applyBorder="1" applyAlignment="1">
      <alignment horizontal="center" vertical="center"/>
    </xf>
    <xf numFmtId="0" fontId="1" fillId="0" borderId="20" xfId="0" applyFont="1" applyBorder="1" applyAlignment="1">
      <alignment wrapText="1"/>
    </xf>
    <xf numFmtId="0" fontId="1" fillId="0" borderId="20" xfId="0" applyFont="1" applyBorder="1"/>
    <xf numFmtId="0" fontId="0" fillId="0" borderId="29" xfId="0" applyBorder="1"/>
    <xf numFmtId="0" fontId="0" fillId="0" borderId="30" xfId="0" applyBorder="1"/>
    <xf numFmtId="0" fontId="0" fillId="0" borderId="19" xfId="0" applyBorder="1"/>
    <xf numFmtId="0" fontId="1" fillId="0" borderId="0" xfId="0" applyFont="1"/>
    <xf numFmtId="0" fontId="0" fillId="0" borderId="0" xfId="0" applyAlignment="1">
      <alignment horizontal="centerContinuous" vertical="center"/>
    </xf>
    <xf numFmtId="0" fontId="7" fillId="0" borderId="0" xfId="0" applyFont="1" applyAlignment="1">
      <alignment horizontal="centerContinuous"/>
    </xf>
    <xf numFmtId="0" fontId="0" fillId="0" borderId="0" xfId="0" applyAlignment="1">
      <alignment horizontal="centerContinuous"/>
    </xf>
    <xf numFmtId="0" fontId="6" fillId="0" borderId="0" xfId="0" applyFont="1"/>
    <xf numFmtId="3" fontId="1" fillId="0" borderId="0" xfId="0" applyNumberFormat="1" applyFont="1" applyAlignment="1">
      <alignment horizontal="center"/>
    </xf>
    <xf numFmtId="0" fontId="6" fillId="0" borderId="0" xfId="0" applyFont="1" applyAlignment="1">
      <alignment wrapText="1"/>
    </xf>
    <xf numFmtId="166" fontId="6" fillId="0" borderId="0" xfId="0" applyNumberFormat="1" applyFont="1" applyAlignment="1">
      <alignment wrapText="1"/>
    </xf>
    <xf numFmtId="3" fontId="1" fillId="2" borderId="31" xfId="0" applyNumberFormat="1" applyFont="1" applyFill="1" applyBorder="1"/>
    <xf numFmtId="3" fontId="5" fillId="0" borderId="0" xfId="0" applyNumberFormat="1" applyFont="1" applyAlignment="1">
      <alignment vertical="center"/>
    </xf>
    <xf numFmtId="3" fontId="5" fillId="0" borderId="0" xfId="0" applyNumberFormat="1" applyFont="1"/>
    <xf numFmtId="3" fontId="5" fillId="0" borderId="5" xfId="0" applyNumberFormat="1" applyFont="1" applyBorder="1"/>
    <xf numFmtId="3" fontId="5" fillId="0" borderId="10" xfId="0" applyNumberFormat="1" applyFont="1" applyBorder="1" applyAlignment="1">
      <alignment vertical="center" wrapText="1"/>
    </xf>
    <xf numFmtId="3" fontId="5" fillId="0" borderId="10" xfId="0" applyNumberFormat="1" applyFont="1" applyBorder="1" applyAlignment="1">
      <alignment wrapText="1"/>
    </xf>
    <xf numFmtId="3" fontId="6" fillId="0" borderId="0" xfId="0" applyNumberFormat="1" applyFont="1"/>
    <xf numFmtId="3" fontId="1" fillId="0" borderId="0" xfId="0" applyNumberFormat="1" applyFont="1" applyAlignment="1">
      <alignment horizontal="center" vertical="center"/>
    </xf>
    <xf numFmtId="3" fontId="1" fillId="0" borderId="0" xfId="0" applyNumberFormat="1" applyFont="1" applyAlignment="1">
      <alignment horizontal="centerContinuous"/>
    </xf>
    <xf numFmtId="0" fontId="14" fillId="0" borderId="0" xfId="0" applyFont="1"/>
    <xf numFmtId="3" fontId="0" fillId="0" borderId="0" xfId="0" applyNumberFormat="1" applyAlignment="1">
      <alignment horizontal="centerContinuous"/>
    </xf>
    <xf numFmtId="3" fontId="2" fillId="0" borderId="0" xfId="0" applyNumberFormat="1" applyFont="1" applyAlignment="1">
      <alignment horizontal="centerContinuous"/>
    </xf>
    <xf numFmtId="4" fontId="0" fillId="3" borderId="20" xfId="0" applyNumberFormat="1" applyFill="1" applyBorder="1" applyProtection="1">
      <protection locked="0"/>
    </xf>
    <xf numFmtId="167" fontId="0" fillId="3" borderId="20" xfId="0" applyNumberFormat="1" applyFill="1" applyBorder="1" applyAlignment="1" applyProtection="1">
      <alignment horizontal="center" vertical="center"/>
      <protection locked="0"/>
    </xf>
    <xf numFmtId="0" fontId="6" fillId="0" borderId="0" xfId="0" applyFont="1" applyAlignment="1">
      <alignment horizontal="center" vertical="center"/>
    </xf>
    <xf numFmtId="3" fontId="14" fillId="0" borderId="0" xfId="0" applyNumberFormat="1" applyFont="1"/>
    <xf numFmtId="3" fontId="0" fillId="3" borderId="19" xfId="0" applyNumberFormat="1" applyFill="1" applyBorder="1" applyAlignment="1" applyProtection="1">
      <alignment horizontal="center" vertical="center"/>
      <protection locked="0"/>
    </xf>
    <xf numFmtId="0" fontId="1" fillId="3" borderId="0" xfId="0" applyFont="1" applyFill="1"/>
    <xf numFmtId="0" fontId="0" fillId="3" borderId="0" xfId="0" applyFill="1"/>
    <xf numFmtId="0" fontId="1" fillId="4" borderId="0" xfId="0" applyFont="1" applyFill="1"/>
    <xf numFmtId="0" fontId="0" fillId="4" borderId="0" xfId="0" applyFill="1"/>
    <xf numFmtId="9" fontId="1" fillId="0" borderId="34" xfId="0" applyNumberFormat="1" applyFont="1" applyBorder="1" applyAlignment="1">
      <alignment horizontal="center" vertical="center" wrapText="1"/>
    </xf>
    <xf numFmtId="0" fontId="1" fillId="0" borderId="35" xfId="0" applyFont="1" applyBorder="1" applyAlignment="1">
      <alignment horizontal="center" vertical="center" wrapText="1"/>
    </xf>
    <xf numFmtId="0" fontId="1" fillId="0" borderId="29" xfId="0" applyFont="1" applyBorder="1" applyAlignment="1">
      <alignment horizontal="center" vertical="center" wrapText="1"/>
    </xf>
    <xf numFmtId="3" fontId="15" fillId="0" borderId="0" xfId="0" applyNumberFormat="1" applyFont="1" applyAlignment="1">
      <alignment horizontal="left"/>
    </xf>
    <xf numFmtId="0" fontId="15" fillId="0" borderId="0" xfId="0" applyFont="1" applyAlignment="1">
      <alignment horizontal="left"/>
    </xf>
    <xf numFmtId="165" fontId="0" fillId="0" borderId="31" xfId="0" applyNumberFormat="1" applyBorder="1" applyAlignment="1" applyProtection="1">
      <alignment horizontal="center"/>
      <protection hidden="1"/>
    </xf>
    <xf numFmtId="3" fontId="2" fillId="0" borderId="10" xfId="0" quotePrefix="1" applyNumberFormat="1" applyFont="1" applyBorder="1" applyAlignment="1" applyProtection="1">
      <alignment horizontal="center"/>
      <protection hidden="1"/>
    </xf>
    <xf numFmtId="164" fontId="0" fillId="0" borderId="1" xfId="0" applyNumberFormat="1" applyBorder="1" applyAlignment="1" applyProtection="1">
      <alignment horizontal="center" vertical="center"/>
      <protection hidden="1"/>
    </xf>
    <xf numFmtId="3" fontId="14" fillId="0" borderId="0" xfId="0" applyNumberFormat="1" applyFont="1" applyProtection="1">
      <protection hidden="1"/>
    </xf>
    <xf numFmtId="0" fontId="14" fillId="0" borderId="0" xfId="0" applyFont="1" applyProtection="1">
      <protection hidden="1"/>
    </xf>
    <xf numFmtId="166" fontId="14" fillId="0" borderId="19" xfId="0" applyNumberFormat="1" applyFont="1" applyBorder="1" applyProtection="1">
      <protection hidden="1"/>
    </xf>
    <xf numFmtId="9" fontId="13" fillId="0" borderId="20" xfId="0" applyNumberFormat="1" applyFont="1" applyBorder="1" applyAlignment="1" applyProtection="1">
      <alignment horizontal="center" vertical="center" wrapText="1"/>
      <protection hidden="1"/>
    </xf>
    <xf numFmtId="3" fontId="13" fillId="0" borderId="20" xfId="0" applyNumberFormat="1" applyFont="1" applyBorder="1" applyAlignment="1" applyProtection="1">
      <alignment horizontal="center" vertical="center" wrapText="1"/>
      <protection hidden="1"/>
    </xf>
    <xf numFmtId="166" fontId="0" fillId="0" borderId="32" xfId="0" applyNumberFormat="1" applyBorder="1" applyAlignment="1" applyProtection="1">
      <alignment horizontal="center" vertical="center"/>
      <protection hidden="1"/>
    </xf>
    <xf numFmtId="0" fontId="0" fillId="0" borderId="0" xfId="0" applyProtection="1">
      <protection hidden="1"/>
    </xf>
    <xf numFmtId="0" fontId="0" fillId="0" borderId="37" xfId="0" applyBorder="1" applyProtection="1">
      <protection hidden="1"/>
    </xf>
    <xf numFmtId="3" fontId="1" fillId="0" borderId="0" xfId="0" applyNumberFormat="1" applyFont="1" applyAlignment="1">
      <alignment horizontal="left"/>
    </xf>
    <xf numFmtId="0" fontId="1" fillId="0" borderId="20" xfId="0" applyFont="1" applyBorder="1" applyAlignment="1">
      <alignment horizontal="center" vertical="center"/>
    </xf>
    <xf numFmtId="0" fontId="16" fillId="0" borderId="0" xfId="0" applyFont="1"/>
    <xf numFmtId="0" fontId="1" fillId="0" borderId="0" xfId="0" applyFont="1" applyAlignment="1">
      <alignment horizontal="center"/>
    </xf>
    <xf numFmtId="3" fontId="16" fillId="0" borderId="0" xfId="0" applyNumberFormat="1" applyFont="1" applyAlignment="1" applyProtection="1">
      <alignment horizontal="left"/>
      <protection hidden="1"/>
    </xf>
    <xf numFmtId="3" fontId="0" fillId="0" borderId="31" xfId="0" applyNumberFormat="1" applyBorder="1" applyAlignment="1">
      <alignment horizontal="center"/>
    </xf>
    <xf numFmtId="0" fontId="6" fillId="0" borderId="0" xfId="0" applyFont="1" applyAlignment="1">
      <alignment horizontal="centerContinuous"/>
    </xf>
    <xf numFmtId="3" fontId="12" fillId="0" borderId="0" xfId="0" applyNumberFormat="1" applyFont="1" applyAlignment="1">
      <alignment horizontal="centerContinuous"/>
    </xf>
    <xf numFmtId="0" fontId="7" fillId="0" borderId="0" xfId="0" applyFont="1" applyAlignment="1">
      <alignment horizontal="centerContinuous" vertical="center"/>
    </xf>
    <xf numFmtId="9" fontId="0" fillId="0" borderId="6" xfId="0" applyNumberFormat="1" applyBorder="1" applyAlignment="1">
      <alignment horizontal="center"/>
    </xf>
    <xf numFmtId="3" fontId="0" fillId="0" borderId="38" xfId="0" applyNumberFormat="1" applyBorder="1" applyAlignment="1">
      <alignment horizontal="center"/>
    </xf>
    <xf numFmtId="3" fontId="0" fillId="0" borderId="39" xfId="0" applyNumberFormat="1" applyBorder="1" applyAlignment="1">
      <alignment horizontal="center"/>
    </xf>
    <xf numFmtId="3" fontId="0" fillId="0" borderId="40" xfId="0" applyNumberFormat="1" applyBorder="1" applyAlignment="1">
      <alignment horizontal="center"/>
    </xf>
    <xf numFmtId="3" fontId="0" fillId="0" borderId="41" xfId="0" applyNumberFormat="1" applyBorder="1"/>
    <xf numFmtId="165" fontId="0" fillId="0" borderId="40" xfId="0" applyNumberFormat="1" applyBorder="1" applyAlignment="1">
      <alignment horizontal="center"/>
    </xf>
    <xf numFmtId="3" fontId="5" fillId="0" borderId="31" xfId="0" applyNumberFormat="1" applyFont="1" applyBorder="1" applyAlignment="1">
      <alignment horizontal="left" vertical="center" wrapText="1"/>
    </xf>
    <xf numFmtId="0" fontId="0" fillId="0" borderId="33" xfId="0" applyBorder="1" applyAlignment="1">
      <alignment horizontal="left"/>
    </xf>
    <xf numFmtId="3" fontId="5" fillId="0" borderId="20" xfId="0" applyNumberFormat="1" applyFont="1" applyBorder="1" applyAlignment="1">
      <alignment vertical="center" wrapText="1"/>
    </xf>
    <xf numFmtId="0" fontId="0" fillId="0" borderId="42" xfId="0" applyBorder="1" applyAlignment="1">
      <alignment horizontal="center" vertical="center"/>
    </xf>
    <xf numFmtId="3" fontId="16" fillId="0" borderId="0" xfId="0" applyNumberFormat="1" applyFont="1" applyProtection="1">
      <protection hidden="1"/>
    </xf>
    <xf numFmtId="0" fontId="1" fillId="0" borderId="0" xfId="0" applyFont="1" applyAlignment="1">
      <alignment wrapText="1"/>
    </xf>
    <xf numFmtId="0" fontId="1" fillId="0" borderId="31" xfId="0" applyFont="1" applyBorder="1" applyAlignment="1">
      <alignment horizontal="centerContinuous" vertical="center"/>
    </xf>
    <xf numFmtId="0" fontId="0" fillId="0" borderId="18" xfId="0" applyBorder="1" applyAlignment="1">
      <alignment horizontal="centerContinuous" vertical="center"/>
    </xf>
    <xf numFmtId="0" fontId="0" fillId="0" borderId="19" xfId="0" applyBorder="1" applyAlignment="1">
      <alignment horizontal="centerContinuous"/>
    </xf>
    <xf numFmtId="0" fontId="0" fillId="0" borderId="31" xfId="0" applyBorder="1"/>
    <xf numFmtId="0" fontId="1" fillId="0" borderId="18" xfId="0" quotePrefix="1" applyFont="1" applyBorder="1"/>
    <xf numFmtId="3" fontId="0" fillId="0" borderId="19" xfId="0" applyNumberFormat="1" applyBorder="1"/>
    <xf numFmtId="3" fontId="0" fillId="0" borderId="31" xfId="0" applyNumberFormat="1" applyBorder="1"/>
    <xf numFmtId="3" fontId="0" fillId="0" borderId="20" xfId="0" applyNumberFormat="1" applyBorder="1"/>
    <xf numFmtId="0" fontId="0" fillId="0" borderId="19" xfId="0" applyBorder="1" applyAlignment="1">
      <alignment horizontal="centerContinuous" vertical="center"/>
    </xf>
    <xf numFmtId="0" fontId="1" fillId="0" borderId="18" xfId="0" applyFont="1" applyBorder="1" applyAlignment="1">
      <alignment horizontal="centerContinuous" vertical="center"/>
    </xf>
    <xf numFmtId="0" fontId="1" fillId="0" borderId="20" xfId="0" applyFont="1" applyBorder="1" applyAlignment="1">
      <alignment vertical="center"/>
    </xf>
    <xf numFmtId="165" fontId="0" fillId="0" borderId="18" xfId="0" applyNumberFormat="1" applyBorder="1" applyAlignment="1" applyProtection="1">
      <alignment horizontal="center"/>
      <protection hidden="1"/>
    </xf>
    <xf numFmtId="165" fontId="0" fillId="0" borderId="19" xfId="0" applyNumberFormat="1" applyBorder="1" applyAlignment="1" applyProtection="1">
      <alignment horizontal="center"/>
      <protection hidden="1"/>
    </xf>
    <xf numFmtId="3" fontId="6" fillId="0" borderId="0" xfId="0" applyNumberFormat="1" applyFont="1" applyAlignment="1">
      <alignment horizontal="center" vertical="center"/>
    </xf>
    <xf numFmtId="3" fontId="0" fillId="0" borderId="6" xfId="0" applyNumberFormat="1" applyBorder="1" applyAlignment="1">
      <alignment horizontal="center" vertical="center"/>
    </xf>
    <xf numFmtId="165" fontId="1" fillId="0" borderId="18" xfId="0" quotePrefix="1" applyNumberFormat="1" applyFont="1" applyBorder="1" applyAlignment="1" applyProtection="1">
      <alignment horizontal="center"/>
      <protection hidden="1"/>
    </xf>
    <xf numFmtId="165" fontId="1" fillId="0" borderId="31" xfId="0" applyNumberFormat="1" applyFont="1" applyBorder="1" applyAlignment="1">
      <alignment horizontal="right"/>
    </xf>
    <xf numFmtId="8" fontId="0" fillId="0" borderId="0" xfId="0" applyNumberFormat="1"/>
    <xf numFmtId="0" fontId="14" fillId="0" borderId="0" xfId="0" applyFont="1" applyAlignment="1">
      <alignment horizontal="left" vertical="center"/>
    </xf>
    <xf numFmtId="0" fontId="1" fillId="0" borderId="0" xfId="0" applyFont="1" applyAlignment="1">
      <alignment horizontal="right"/>
    </xf>
    <xf numFmtId="0" fontId="17"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17" fillId="0" borderId="0" xfId="0" applyFont="1" applyAlignment="1">
      <alignment horizontal="centerContinuous" vertical="center"/>
    </xf>
    <xf numFmtId="0" fontId="21" fillId="0" borderId="0" xfId="0" applyFont="1"/>
    <xf numFmtId="0" fontId="21" fillId="0" borderId="0" xfId="0" applyFont="1" applyAlignment="1">
      <alignment vertical="center"/>
    </xf>
    <xf numFmtId="0" fontId="21" fillId="0" borderId="0" xfId="0" applyFont="1" applyAlignment="1">
      <alignment horizontal="left" vertical="center" indent="4"/>
    </xf>
    <xf numFmtId="0" fontId="23" fillId="0" borderId="0" xfId="0" applyFont="1" applyAlignment="1">
      <alignment vertical="center"/>
    </xf>
    <xf numFmtId="0" fontId="22" fillId="0" borderId="0" xfId="0" applyFont="1" applyAlignment="1">
      <alignment vertical="center"/>
    </xf>
    <xf numFmtId="0" fontId="18" fillId="0" borderId="0" xfId="0" applyFont="1" applyAlignment="1">
      <alignment horizontal="center"/>
    </xf>
    <xf numFmtId="9" fontId="1" fillId="0" borderId="64" xfId="0" applyNumberFormat="1" applyFont="1" applyBorder="1" applyAlignment="1">
      <alignment horizontal="center" vertical="center" wrapText="1"/>
    </xf>
    <xf numFmtId="0" fontId="1" fillId="0" borderId="65" xfId="0" applyFont="1" applyBorder="1" applyAlignment="1">
      <alignment horizontal="center" vertical="center" wrapText="1"/>
    </xf>
    <xf numFmtId="0" fontId="0" fillId="0" borderId="66" xfId="0" applyBorder="1" applyAlignment="1">
      <alignment horizontal="center" vertical="center"/>
    </xf>
    <xf numFmtId="0" fontId="1" fillId="0" borderId="66" xfId="0" applyFont="1" applyBorder="1" applyAlignment="1">
      <alignment horizontal="center" vertical="center"/>
    </xf>
    <xf numFmtId="0" fontId="0" fillId="0" borderId="67" xfId="0" applyBorder="1"/>
    <xf numFmtId="166" fontId="0" fillId="0" borderId="68" xfId="0" applyNumberFormat="1" applyBorder="1" applyAlignment="1" applyProtection="1">
      <alignment horizontal="center" vertical="center"/>
      <protection hidden="1"/>
    </xf>
    <xf numFmtId="166" fontId="0" fillId="0" borderId="70" xfId="0" applyNumberFormat="1" applyBorder="1" applyAlignment="1" applyProtection="1">
      <alignment horizontal="center" vertical="center"/>
      <protection hidden="1"/>
    </xf>
    <xf numFmtId="166" fontId="0" fillId="0" borderId="69" xfId="0" applyNumberFormat="1" applyBorder="1" applyAlignment="1" applyProtection="1">
      <alignment horizontal="center" vertical="center"/>
      <protection hidden="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1" xfId="0" applyBorder="1" applyAlignment="1">
      <alignment horizontal="center" vertical="center"/>
    </xf>
    <xf numFmtId="0" fontId="1" fillId="0" borderId="72" xfId="0" applyFont="1" applyBorder="1" applyAlignment="1">
      <alignment horizontal="center" vertical="center" wrapText="1"/>
    </xf>
    <xf numFmtId="0" fontId="1" fillId="3" borderId="73" xfId="0" applyFont="1" applyFill="1" applyBorder="1" applyAlignment="1" applyProtection="1">
      <alignment horizontal="center" vertical="center"/>
      <protection locked="0"/>
    </xf>
    <xf numFmtId="0" fontId="1" fillId="3" borderId="74" xfId="0" applyFont="1" applyFill="1" applyBorder="1" applyAlignment="1" applyProtection="1">
      <alignment horizontal="center" vertical="center"/>
      <protection locked="0"/>
    </xf>
    <xf numFmtId="166" fontId="0" fillId="0" borderId="0" xfId="0" applyNumberFormat="1" applyAlignment="1">
      <alignment horizontal="center"/>
    </xf>
    <xf numFmtId="0" fontId="0" fillId="0" borderId="75" xfId="0" applyBorder="1" applyAlignment="1">
      <alignment horizontal="center" vertical="center"/>
    </xf>
    <xf numFmtId="0" fontId="0" fillId="0" borderId="76" xfId="0" applyBorder="1"/>
    <xf numFmtId="166" fontId="0" fillId="0" borderId="76" xfId="0" applyNumberFormat="1" applyBorder="1" applyAlignment="1" applyProtection="1">
      <alignment horizontal="center" vertical="center"/>
      <protection hidden="1"/>
    </xf>
    <xf numFmtId="166" fontId="0" fillId="0" borderId="77" xfId="0" applyNumberFormat="1" applyBorder="1" applyAlignment="1" applyProtection="1">
      <alignment horizontal="center" vertical="center"/>
      <protection hidden="1"/>
    </xf>
    <xf numFmtId="0" fontId="0" fillId="0" borderId="63" xfId="0" applyBorder="1"/>
    <xf numFmtId="3" fontId="1" fillId="0" borderId="0" xfId="0" applyNumberFormat="1" applyFont="1"/>
    <xf numFmtId="0" fontId="4" fillId="0" borderId="0" xfId="0" applyFont="1"/>
    <xf numFmtId="0" fontId="1" fillId="0" borderId="0" xfId="0" applyFont="1" applyAlignment="1">
      <alignment horizontal="center" vertical="center"/>
    </xf>
    <xf numFmtId="0" fontId="1" fillId="0" borderId="33" xfId="0" applyFont="1" applyBorder="1" applyAlignment="1">
      <alignment horizontal="center" vertical="center"/>
    </xf>
    <xf numFmtId="0" fontId="1" fillId="0" borderId="61" xfId="0" applyFont="1" applyBorder="1" applyAlignment="1">
      <alignment horizontal="center" vertical="center"/>
    </xf>
    <xf numFmtId="0" fontId="21" fillId="0" borderId="27" xfId="0" applyFont="1" applyBorder="1"/>
    <xf numFmtId="3" fontId="1" fillId="0" borderId="0" xfId="0" applyNumberFormat="1" applyFont="1" applyProtection="1">
      <protection locked="0"/>
    </xf>
    <xf numFmtId="3" fontId="1" fillId="0" borderId="15" xfId="0" applyNumberFormat="1" applyFont="1" applyBorder="1" applyAlignment="1">
      <alignment wrapText="1"/>
    </xf>
    <xf numFmtId="3" fontId="0" fillId="0" borderId="2" xfId="0" applyNumberFormat="1" applyBorder="1" applyAlignment="1">
      <alignment horizontal="center"/>
    </xf>
    <xf numFmtId="0" fontId="1" fillId="3" borderId="81" xfId="0" applyFont="1" applyFill="1" applyBorder="1" applyAlignment="1" applyProtection="1">
      <alignment horizontal="center" vertical="center"/>
      <protection locked="0"/>
    </xf>
    <xf numFmtId="0" fontId="1" fillId="0" borderId="85" xfId="0" applyFont="1" applyBorder="1" applyAlignment="1">
      <alignment horizontal="left" vertical="center" wrapText="1"/>
    </xf>
    <xf numFmtId="0" fontId="1" fillId="0" borderId="84" xfId="0" applyFont="1" applyBorder="1" applyAlignment="1">
      <alignment horizontal="left" vertical="center" wrapText="1"/>
    </xf>
    <xf numFmtId="0" fontId="1" fillId="5" borderId="0" xfId="0" applyFont="1" applyFill="1"/>
    <xf numFmtId="0" fontId="0" fillId="5" borderId="0" xfId="0" applyFill="1"/>
    <xf numFmtId="0" fontId="0" fillId="0" borderId="4" xfId="0" applyBorder="1"/>
    <xf numFmtId="166" fontId="0" fillId="0" borderId="0" xfId="0" applyNumberFormat="1"/>
    <xf numFmtId="3" fontId="16" fillId="0" borderId="0" xfId="0" applyNumberFormat="1" applyFont="1" applyAlignment="1">
      <alignment horizontal="left"/>
    </xf>
    <xf numFmtId="3" fontId="1" fillId="0" borderId="4" xfId="0" applyNumberFormat="1" applyFont="1" applyBorder="1"/>
    <xf numFmtId="1" fontId="13" fillId="0" borderId="0" xfId="0" applyNumberFormat="1" applyFont="1" applyAlignment="1" applyProtection="1">
      <alignment horizontal="center" vertical="center" wrapText="1"/>
      <protection hidden="1"/>
    </xf>
    <xf numFmtId="0" fontId="16" fillId="0" borderId="0" xfId="0" applyFont="1" applyAlignment="1">
      <alignment horizontal="left" vertical="center"/>
    </xf>
    <xf numFmtId="0" fontId="16" fillId="0" borderId="0" xfId="0" applyFont="1" applyProtection="1">
      <protection hidden="1"/>
    </xf>
    <xf numFmtId="0" fontId="6" fillId="0" borderId="0" xfId="0" applyFont="1" applyAlignment="1">
      <alignment horizontal="center"/>
    </xf>
    <xf numFmtId="0" fontId="6" fillId="0" borderId="0" xfId="0" applyFont="1" applyAlignment="1">
      <alignment horizontal="center" wrapText="1"/>
    </xf>
    <xf numFmtId="0" fontId="1" fillId="3" borderId="20" xfId="0" applyFont="1" applyFill="1" applyBorder="1" applyAlignment="1" applyProtection="1">
      <alignment horizontal="center"/>
      <protection locked="0"/>
    </xf>
    <xf numFmtId="0" fontId="0" fillId="3" borderId="20" xfId="0" applyFill="1" applyBorder="1" applyAlignment="1" applyProtection="1">
      <alignment horizontal="center"/>
      <protection locked="0"/>
    </xf>
    <xf numFmtId="3" fontId="1" fillId="3" borderId="1" xfId="0" applyNumberFormat="1" applyFont="1" applyFill="1" applyBorder="1" applyAlignment="1" applyProtection="1">
      <alignment horizontal="center" vertical="center"/>
      <protection locked="0"/>
    </xf>
    <xf numFmtId="3" fontId="1" fillId="3" borderId="20" xfId="0" applyNumberFormat="1" applyFont="1" applyFill="1" applyBorder="1" applyAlignment="1" applyProtection="1">
      <alignment horizontal="center" vertical="center" wrapText="1"/>
      <protection locked="0" hidden="1"/>
    </xf>
    <xf numFmtId="0" fontId="16" fillId="0" borderId="0" xfId="0" applyFont="1" applyAlignment="1">
      <alignment horizontal="center"/>
    </xf>
    <xf numFmtId="0" fontId="14" fillId="0" borderId="0" xfId="0" applyFont="1" applyAlignment="1">
      <alignment horizontal="center"/>
    </xf>
    <xf numFmtId="3" fontId="6" fillId="0" borderId="0" xfId="0" applyNumberFormat="1" applyFont="1" applyAlignment="1">
      <alignment horizontal="center"/>
    </xf>
    <xf numFmtId="39" fontId="1" fillId="0" borderId="0" xfId="1" applyNumberFormat="1" applyFont="1"/>
    <xf numFmtId="14" fontId="21" fillId="0" borderId="2" xfId="0" applyNumberFormat="1" applyFont="1" applyBorder="1" applyAlignment="1" applyProtection="1">
      <alignment horizontal="center"/>
      <protection locked="0"/>
    </xf>
    <xf numFmtId="14" fontId="21" fillId="0" borderId="0" xfId="0" applyNumberFormat="1" applyFont="1" applyAlignment="1" applyProtection="1">
      <alignment horizontal="left"/>
      <protection locked="0"/>
    </xf>
    <xf numFmtId="0" fontId="21" fillId="0" borderId="0" xfId="0" applyFont="1" applyAlignment="1">
      <alignment horizontal="right"/>
    </xf>
    <xf numFmtId="166" fontId="0" fillId="3" borderId="2" xfId="0" applyNumberFormat="1" applyFill="1" applyBorder="1" applyProtection="1">
      <protection locked="0"/>
    </xf>
    <xf numFmtId="3" fontId="27" fillId="0" borderId="2" xfId="0" applyNumberFormat="1" applyFont="1" applyBorder="1" applyProtection="1">
      <protection locked="0"/>
    </xf>
    <xf numFmtId="0" fontId="0" fillId="0" borderId="1" xfId="0" applyBorder="1" applyAlignment="1">
      <alignment horizontal="center" vertical="center"/>
    </xf>
    <xf numFmtId="0" fontId="13" fillId="0" borderId="0" xfId="0" applyFont="1" applyAlignment="1" applyProtection="1">
      <alignment vertical="center" wrapText="1"/>
      <protection hidden="1"/>
    </xf>
    <xf numFmtId="0" fontId="1" fillId="0" borderId="4" xfId="0" applyFont="1" applyBorder="1" applyAlignment="1">
      <alignment horizontal="center"/>
    </xf>
    <xf numFmtId="3" fontId="13" fillId="0" borderId="1" xfId="0" applyNumberFormat="1" applyFont="1" applyBorder="1" applyAlignment="1" applyProtection="1">
      <alignment horizontal="center" vertical="center" wrapText="1"/>
      <protection hidden="1"/>
    </xf>
    <xf numFmtId="0" fontId="1" fillId="0" borderId="20" xfId="0" applyFont="1" applyBorder="1" applyAlignment="1">
      <alignment horizontal="center" vertical="center" wrapText="1"/>
    </xf>
    <xf numFmtId="0" fontId="1" fillId="0" borderId="30" xfId="0" applyFont="1" applyBorder="1" applyAlignment="1">
      <alignment horizontal="center"/>
    </xf>
    <xf numFmtId="0" fontId="0" fillId="0" borderId="0" xfId="0" applyAlignment="1" applyProtection="1">
      <alignment horizontal="center"/>
      <protection hidden="1"/>
    </xf>
    <xf numFmtId="3" fontId="2" fillId="0" borderId="0" xfId="0" applyNumberFormat="1" applyFont="1" applyAlignment="1" applyProtection="1">
      <alignment horizontal="center"/>
      <protection hidden="1"/>
    </xf>
    <xf numFmtId="3" fontId="0" fillId="0" borderId="0" xfId="0" applyNumberFormat="1" applyProtection="1">
      <protection hidden="1"/>
    </xf>
    <xf numFmtId="0" fontId="1" fillId="0" borderId="0" xfId="0" applyFont="1" applyAlignment="1" applyProtection="1">
      <alignment horizontal="center"/>
      <protection hidden="1"/>
    </xf>
    <xf numFmtId="3" fontId="15" fillId="0" borderId="0" xfId="0" applyNumberFormat="1" applyFont="1" applyProtection="1">
      <protection hidden="1"/>
    </xf>
    <xf numFmtId="0" fontId="1" fillId="0" borderId="0" xfId="0" applyFont="1" applyProtection="1">
      <protection hidden="1"/>
    </xf>
    <xf numFmtId="3" fontId="14" fillId="0" borderId="0" xfId="0" applyNumberFormat="1" applyFont="1" applyAlignment="1" applyProtection="1">
      <alignment horizontal="left"/>
      <protection hidden="1"/>
    </xf>
    <xf numFmtId="0" fontId="14" fillId="0" borderId="0" xfId="0" applyFont="1" applyAlignment="1" applyProtection="1">
      <alignment horizontal="left" vertical="center"/>
      <protection hidden="1"/>
    </xf>
    <xf numFmtId="166" fontId="0" fillId="0" borderId="0" xfId="0" applyNumberFormat="1" applyAlignment="1" applyProtection="1">
      <alignment horizontal="center"/>
      <protection hidden="1"/>
    </xf>
    <xf numFmtId="0" fontId="1" fillId="0" borderId="60" xfId="0" applyFont="1" applyBorder="1" applyAlignment="1">
      <alignment horizontal="left" vertical="center" wrapText="1"/>
    </xf>
    <xf numFmtId="0" fontId="1" fillId="0" borderId="70" xfId="0" applyFont="1" applyBorder="1" applyAlignment="1">
      <alignment horizontal="left" vertical="center" wrapText="1"/>
    </xf>
    <xf numFmtId="3" fontId="1" fillId="0" borderId="14" xfId="0" applyNumberFormat="1" applyFont="1" applyBorder="1" applyAlignment="1">
      <alignment wrapText="1"/>
    </xf>
    <xf numFmtId="3" fontId="1" fillId="3" borderId="86" xfId="0" applyNumberFormat="1" applyFont="1" applyFill="1" applyBorder="1" applyProtection="1">
      <protection locked="0"/>
    </xf>
    <xf numFmtId="3" fontId="2" fillId="3" borderId="86" xfId="0" applyNumberFormat="1" applyFont="1" applyFill="1" applyBorder="1" applyProtection="1">
      <protection locked="0"/>
    </xf>
    <xf numFmtId="0" fontId="1" fillId="3" borderId="0" xfId="0" applyFont="1" applyFill="1" applyAlignment="1" applyProtection="1">
      <alignment horizontal="center"/>
      <protection locked="0"/>
    </xf>
    <xf numFmtId="0" fontId="13" fillId="0" borderId="0" xfId="0" applyFont="1"/>
    <xf numFmtId="0" fontId="28" fillId="0" borderId="0" xfId="0" applyFont="1"/>
    <xf numFmtId="0" fontId="1" fillId="6" borderId="0" xfId="0" applyFont="1" applyFill="1"/>
    <xf numFmtId="0" fontId="0" fillId="6" borderId="0" xfId="0" applyFill="1"/>
    <xf numFmtId="165" fontId="0" fillId="7" borderId="60" xfId="0" applyNumberFormat="1" applyFill="1" applyBorder="1" applyAlignment="1" applyProtection="1">
      <alignment horizontal="center" vertical="center"/>
      <protection locked="0"/>
    </xf>
    <xf numFmtId="165" fontId="0" fillId="7" borderId="78" xfId="0" applyNumberFormat="1" applyFill="1" applyBorder="1" applyAlignment="1" applyProtection="1">
      <alignment horizontal="center" vertical="center"/>
      <protection locked="0"/>
    </xf>
    <xf numFmtId="165" fontId="1" fillId="7" borderId="60" xfId="0" applyNumberFormat="1" applyFont="1" applyFill="1" applyBorder="1" applyAlignment="1" applyProtection="1">
      <alignment horizontal="center" vertical="center"/>
      <protection locked="0"/>
    </xf>
    <xf numFmtId="165" fontId="1" fillId="7" borderId="83" xfId="0" applyNumberFormat="1" applyFont="1" applyFill="1" applyBorder="1" applyAlignment="1" applyProtection="1">
      <alignment horizontal="center" vertical="center"/>
      <protection locked="0"/>
    </xf>
    <xf numFmtId="165" fontId="0" fillId="7" borderId="70" xfId="0" applyNumberFormat="1" applyFill="1" applyBorder="1" applyAlignment="1" applyProtection="1">
      <alignment horizontal="center" vertical="center"/>
      <protection locked="0"/>
    </xf>
    <xf numFmtId="165" fontId="0" fillId="6" borderId="60" xfId="0" applyNumberFormat="1" applyFill="1" applyBorder="1" applyAlignment="1" applyProtection="1">
      <alignment horizontal="center" vertical="center"/>
      <protection locked="0"/>
    </xf>
    <xf numFmtId="165" fontId="0" fillId="6" borderId="78" xfId="0" applyNumberFormat="1" applyFill="1" applyBorder="1" applyAlignment="1" applyProtection="1">
      <alignment horizontal="center" vertical="center"/>
      <protection locked="0"/>
    </xf>
    <xf numFmtId="165" fontId="1" fillId="6" borderId="60" xfId="0" applyNumberFormat="1" applyFont="1" applyFill="1" applyBorder="1" applyAlignment="1" applyProtection="1">
      <alignment horizontal="center" vertical="center"/>
      <protection locked="0"/>
    </xf>
    <xf numFmtId="165" fontId="1" fillId="6" borderId="83" xfId="0" applyNumberFormat="1" applyFont="1" applyFill="1" applyBorder="1" applyAlignment="1" applyProtection="1">
      <alignment horizontal="center" vertical="center"/>
      <protection locked="0"/>
    </xf>
    <xf numFmtId="165" fontId="0" fillId="6" borderId="70" xfId="0" applyNumberFormat="1" applyFill="1" applyBorder="1" applyAlignment="1" applyProtection="1">
      <alignment horizontal="center" vertical="center"/>
      <protection locked="0"/>
    </xf>
    <xf numFmtId="0" fontId="8" fillId="0" borderId="0" xfId="0" applyFont="1"/>
    <xf numFmtId="0" fontId="1" fillId="8" borderId="0" xfId="0" applyFont="1" applyFill="1" applyAlignment="1">
      <alignment wrapText="1"/>
    </xf>
    <xf numFmtId="3" fontId="16" fillId="0" borderId="1" xfId="0" applyNumberFormat="1" applyFont="1" applyBorder="1" applyAlignment="1">
      <alignment horizontal="center" vertical="center" wrapText="1"/>
    </xf>
    <xf numFmtId="3" fontId="1" fillId="3" borderId="1" xfId="0" applyNumberFormat="1" applyFont="1" applyFill="1" applyBorder="1" applyProtection="1">
      <protection locked="0"/>
    </xf>
    <xf numFmtId="14" fontId="16" fillId="0" borderId="1" xfId="0" applyNumberFormat="1" applyFont="1" applyBorder="1" applyAlignment="1">
      <alignment horizontal="center" vertical="center" wrapText="1"/>
    </xf>
    <xf numFmtId="0" fontId="0" fillId="0" borderId="1" xfId="0" applyBorder="1" applyAlignment="1">
      <alignment wrapText="1"/>
    </xf>
    <xf numFmtId="14" fontId="0" fillId="3" borderId="1" xfId="0" applyNumberFormat="1" applyFill="1" applyBorder="1" applyProtection="1">
      <protection locked="0"/>
    </xf>
    <xf numFmtId="0" fontId="0" fillId="0" borderId="1" xfId="0" applyBorder="1" applyProtection="1">
      <protection locked="0"/>
    </xf>
    <xf numFmtId="3" fontId="1" fillId="0" borderId="38" xfId="0" applyNumberFormat="1" applyFont="1" applyBorder="1" applyAlignment="1">
      <alignment horizontal="center"/>
    </xf>
    <xf numFmtId="0" fontId="0" fillId="0" borderId="39" xfId="0" applyBorder="1" applyAlignment="1">
      <alignment horizontal="center"/>
    </xf>
    <xf numFmtId="3" fontId="1" fillId="0" borderId="31" xfId="0" applyNumberFormat="1" applyFont="1" applyBorder="1" applyAlignment="1">
      <alignment horizontal="center"/>
    </xf>
    <xf numFmtId="0" fontId="0" fillId="0" borderId="40" xfId="0" applyBorder="1" applyAlignment="1">
      <alignment horizontal="center"/>
    </xf>
    <xf numFmtId="3" fontId="1" fillId="0" borderId="41" xfId="0" applyNumberFormat="1" applyFont="1" applyBorder="1" applyAlignment="1">
      <alignment horizontal="center"/>
    </xf>
    <xf numFmtId="0" fontId="0" fillId="0" borderId="54" xfId="0" applyBorder="1" applyAlignment="1">
      <alignment horizontal="center"/>
    </xf>
    <xf numFmtId="3" fontId="0" fillId="0" borderId="31" xfId="0" applyNumberFormat="1" applyBorder="1" applyAlignment="1">
      <alignment horizontal="center" vertical="center"/>
    </xf>
    <xf numFmtId="0" fontId="0" fillId="0" borderId="40" xfId="0" applyBorder="1" applyAlignment="1">
      <alignment horizontal="center" vertical="center"/>
    </xf>
    <xf numFmtId="4" fontId="5" fillId="0" borderId="31" xfId="0" applyNumberFormat="1" applyFont="1" applyBorder="1" applyAlignment="1">
      <alignment horizontal="center" vertical="center"/>
    </xf>
    <xf numFmtId="4" fontId="5" fillId="0" borderId="18" xfId="0" applyNumberFormat="1" applyFont="1" applyBorder="1" applyAlignment="1">
      <alignment horizontal="center" vertical="center"/>
    </xf>
    <xf numFmtId="4" fontId="5" fillId="0" borderId="19" xfId="0" applyNumberFormat="1" applyFont="1" applyBorder="1" applyAlignment="1">
      <alignment horizontal="center" vertical="center"/>
    </xf>
    <xf numFmtId="9" fontId="0" fillId="0" borderId="41" xfId="0" applyNumberFormat="1" applyBorder="1" applyAlignment="1">
      <alignment horizontal="center"/>
    </xf>
    <xf numFmtId="0" fontId="0" fillId="0" borderId="25" xfId="0" applyBorder="1"/>
    <xf numFmtId="0" fontId="0" fillId="0" borderId="12" xfId="0" applyBorder="1"/>
    <xf numFmtId="0" fontId="0" fillId="0" borderId="38" xfId="0" applyBorder="1"/>
    <xf numFmtId="0" fontId="0" fillId="0" borderId="52" xfId="0" applyBorder="1"/>
    <xf numFmtId="3" fontId="0" fillId="0" borderId="31" xfId="0" applyNumberFormat="1" applyBorder="1" applyAlignment="1">
      <alignment horizontal="center"/>
    </xf>
    <xf numFmtId="0" fontId="0" fillId="0" borderId="18" xfId="0" applyBorder="1"/>
    <xf numFmtId="0" fontId="0" fillId="0" borderId="31" xfId="0" applyBorder="1" applyAlignment="1">
      <alignment horizontal="center"/>
    </xf>
    <xf numFmtId="0" fontId="0" fillId="0" borderId="18" xfId="0" applyBorder="1" applyAlignment="1">
      <alignment horizontal="center"/>
    </xf>
    <xf numFmtId="168" fontId="0" fillId="4" borderId="31" xfId="0" applyNumberFormat="1" applyFill="1" applyBorder="1" applyAlignment="1" applyProtection="1">
      <alignment horizontal="center"/>
      <protection locked="0"/>
    </xf>
    <xf numFmtId="168" fontId="0" fillId="4" borderId="18" xfId="0" applyNumberFormat="1" applyFill="1" applyBorder="1" applyProtection="1">
      <protection locked="0"/>
    </xf>
    <xf numFmtId="168" fontId="0" fillId="0" borderId="19" xfId="0" applyNumberFormat="1" applyBorder="1" applyProtection="1">
      <protection locked="0"/>
    </xf>
    <xf numFmtId="168" fontId="0" fillId="0" borderId="38" xfId="0" applyNumberFormat="1" applyBorder="1" applyAlignment="1">
      <alignment horizontal="center"/>
    </xf>
    <xf numFmtId="168" fontId="0" fillId="0" borderId="52" xfId="0" applyNumberFormat="1" applyBorder="1"/>
    <xf numFmtId="168" fontId="0" fillId="0" borderId="53" xfId="0" applyNumberFormat="1" applyBorder="1"/>
    <xf numFmtId="165" fontId="5" fillId="0" borderId="31" xfId="0" applyNumberFormat="1" applyFont="1" applyBorder="1" applyAlignment="1" applyProtection="1">
      <alignment horizontal="center" vertical="center"/>
      <protection hidden="1"/>
    </xf>
    <xf numFmtId="0" fontId="0" fillId="0" borderId="18" xfId="0" applyBorder="1" applyAlignment="1">
      <alignment vertical="center"/>
    </xf>
    <xf numFmtId="0" fontId="0" fillId="0" borderId="19" xfId="0" applyBorder="1" applyAlignment="1">
      <alignment vertical="center"/>
    </xf>
    <xf numFmtId="4" fontId="5" fillId="0" borderId="31" xfId="0" applyNumberFormat="1" applyFont="1" applyBorder="1" applyAlignment="1" applyProtection="1">
      <alignment horizontal="center" vertical="center" wrapText="1"/>
      <protection hidden="1"/>
    </xf>
    <xf numFmtId="0" fontId="5" fillId="0" borderId="18" xfId="0" applyFont="1" applyBorder="1" applyAlignment="1" applyProtection="1">
      <alignment vertical="center" wrapText="1"/>
      <protection hidden="1"/>
    </xf>
    <xf numFmtId="0" fontId="5" fillId="0" borderId="19" xfId="0" applyFont="1" applyBorder="1" applyAlignment="1" applyProtection="1">
      <alignment vertical="center" wrapText="1"/>
      <protection hidden="1"/>
    </xf>
    <xf numFmtId="0" fontId="0" fillId="0" borderId="53" xfId="0" applyBorder="1"/>
    <xf numFmtId="165" fontId="0" fillId="0" borderId="18" xfId="0" applyNumberFormat="1" applyBorder="1" applyAlignment="1" applyProtection="1">
      <alignment horizontal="center"/>
      <protection hidden="1"/>
    </xf>
    <xf numFmtId="165" fontId="0" fillId="0" borderId="19" xfId="0" applyNumberFormat="1" applyBorder="1" applyAlignment="1" applyProtection="1">
      <alignment horizontal="center"/>
      <protection hidden="1"/>
    </xf>
    <xf numFmtId="168" fontId="0" fillId="4" borderId="18" xfId="0" applyNumberFormat="1" applyFill="1" applyBorder="1" applyAlignment="1">
      <alignment horizontal="center"/>
    </xf>
    <xf numFmtId="168" fontId="0" fillId="4" borderId="19" xfId="0" applyNumberFormat="1" applyFill="1" applyBorder="1" applyAlignment="1">
      <alignment horizontal="center"/>
    </xf>
    <xf numFmtId="3" fontId="5" fillId="0" borderId="31" xfId="0" applyNumberFormat="1" applyFont="1" applyBorder="1" applyAlignment="1">
      <alignment vertical="center"/>
    </xf>
    <xf numFmtId="3" fontId="5" fillId="0" borderId="31" xfId="0" applyNumberFormat="1" applyFont="1" applyBorder="1" applyAlignment="1" applyProtection="1">
      <alignment horizontal="center" vertical="center"/>
      <protection hidden="1"/>
    </xf>
    <xf numFmtId="0" fontId="0" fillId="0" borderId="18" xfId="0" applyBorder="1" applyAlignment="1">
      <alignment horizontal="center" vertical="center"/>
    </xf>
    <xf numFmtId="0" fontId="0" fillId="0" borderId="19" xfId="0" applyBorder="1"/>
    <xf numFmtId="3" fontId="2" fillId="3" borderId="46" xfId="0" applyNumberFormat="1" applyFont="1" applyFill="1" applyBorder="1" applyAlignment="1" applyProtection="1">
      <alignment horizontal="center" vertical="center" wrapText="1"/>
      <protection locked="0"/>
    </xf>
    <xf numFmtId="0" fontId="0" fillId="3" borderId="46" xfId="0" applyFill="1" applyBorder="1" applyAlignment="1" applyProtection="1">
      <alignment horizontal="center" vertical="center"/>
      <protection locked="0"/>
    </xf>
    <xf numFmtId="0" fontId="0" fillId="0" borderId="25" xfId="0" applyBorder="1" applyAlignment="1">
      <alignment horizontal="center"/>
    </xf>
    <xf numFmtId="0" fontId="0" fillId="0" borderId="12" xfId="0" applyBorder="1" applyAlignment="1">
      <alignment horizontal="center"/>
    </xf>
    <xf numFmtId="0" fontId="0" fillId="3" borderId="55" xfId="0"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3" fontId="1" fillId="3" borderId="1" xfId="0" applyNumberFormat="1" applyFont="1" applyFill="1" applyBorder="1" applyAlignment="1" applyProtection="1">
      <alignment horizontal="center" wrapText="1"/>
      <protection locked="0"/>
    </xf>
    <xf numFmtId="3" fontId="2" fillId="3" borderId="1" xfId="0" applyNumberFormat="1" applyFont="1" applyFill="1" applyBorder="1" applyAlignment="1" applyProtection="1">
      <alignment horizontal="center" wrapText="1"/>
      <protection locked="0"/>
    </xf>
    <xf numFmtId="1" fontId="1" fillId="3" borderId="1" xfId="0" applyNumberFormat="1" applyFont="1" applyFill="1" applyBorder="1" applyAlignment="1" applyProtection="1">
      <alignment horizontal="center" wrapText="1"/>
      <protection locked="0"/>
    </xf>
    <xf numFmtId="1" fontId="2" fillId="3" borderId="1" xfId="0" applyNumberFormat="1" applyFont="1" applyFill="1" applyBorder="1" applyAlignment="1" applyProtection="1">
      <alignment horizontal="center" wrapText="1"/>
      <protection locked="0"/>
    </xf>
    <xf numFmtId="3" fontId="2" fillId="0" borderId="4" xfId="0" applyNumberFormat="1" applyFont="1" applyBorder="1" applyAlignment="1">
      <alignment horizontal="center"/>
    </xf>
    <xf numFmtId="0" fontId="0" fillId="3" borderId="80" xfId="0" applyFill="1" applyBorder="1" applyAlignment="1" applyProtection="1">
      <alignment horizontal="center" vertical="center"/>
      <protection locked="0"/>
    </xf>
    <xf numFmtId="3" fontId="2" fillId="0" borderId="44" xfId="0" applyNumberFormat="1" applyFont="1" applyBorder="1" applyAlignment="1">
      <alignment horizontal="center" vertical="center"/>
    </xf>
    <xf numFmtId="0" fontId="0" fillId="0" borderId="44" xfId="0" applyBorder="1"/>
    <xf numFmtId="0" fontId="0" fillId="0" borderId="45" xfId="0" applyBorder="1"/>
    <xf numFmtId="3" fontId="2" fillId="0" borderId="44" xfId="0" applyNumberFormat="1" applyFont="1" applyBorder="1" applyAlignment="1">
      <alignment horizontal="center" vertical="center" wrapText="1"/>
    </xf>
    <xf numFmtId="3" fontId="2" fillId="3" borderId="55" xfId="0"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3" fontId="27" fillId="0" borderId="2" xfId="0" applyNumberFormat="1" applyFont="1" applyBorder="1" applyProtection="1">
      <protection locked="0"/>
    </xf>
    <xf numFmtId="3" fontId="0" fillId="0" borderId="38" xfId="0" applyNumberFormat="1" applyBorder="1"/>
    <xf numFmtId="0" fontId="0" fillId="0" borderId="19" xfId="0" applyBorder="1" applyAlignment="1">
      <alignment horizontal="center"/>
    </xf>
    <xf numFmtId="165" fontId="0" fillId="5" borderId="31" xfId="0" applyNumberFormat="1" applyFill="1" applyBorder="1" applyAlignment="1" applyProtection="1">
      <alignment horizontal="center" vertical="center"/>
      <protection locked="0"/>
    </xf>
    <xf numFmtId="165" fontId="0" fillId="5" borderId="18" xfId="0" applyNumberFormat="1" applyFill="1" applyBorder="1" applyProtection="1">
      <protection locked="0"/>
    </xf>
    <xf numFmtId="165" fontId="0" fillId="5" borderId="19" xfId="0" applyNumberFormat="1" applyFill="1" applyBorder="1" applyProtection="1">
      <protection locked="0"/>
    </xf>
    <xf numFmtId="3" fontId="1" fillId="3" borderId="80" xfId="0" applyNumberFormat="1" applyFont="1" applyFill="1" applyBorder="1" applyAlignment="1" applyProtection="1">
      <alignment horizontal="center" vertical="center"/>
      <protection locked="0"/>
    </xf>
    <xf numFmtId="3" fontId="0" fillId="0" borderId="23" xfId="0" applyNumberFormat="1" applyBorder="1" applyAlignment="1" applyProtection="1">
      <alignment horizontal="center"/>
      <protection hidden="1"/>
    </xf>
    <xf numFmtId="0" fontId="0" fillId="0" borderId="22" xfId="0" applyBorder="1" applyProtection="1">
      <protection hidden="1"/>
    </xf>
    <xf numFmtId="0" fontId="0" fillId="0" borderId="51" xfId="0" applyBorder="1" applyProtection="1">
      <protection hidden="1"/>
    </xf>
    <xf numFmtId="3" fontId="5" fillId="0" borderId="22" xfId="0" applyNumberFormat="1" applyFont="1" applyBorder="1" applyAlignment="1" applyProtection="1">
      <alignment horizontal="center" vertical="center"/>
      <protection hidden="1"/>
    </xf>
    <xf numFmtId="0" fontId="0" fillId="0" borderId="22" xfId="0" applyBorder="1" applyAlignment="1" applyProtection="1">
      <alignment vertical="center"/>
      <protection hidden="1"/>
    </xf>
    <xf numFmtId="0" fontId="0" fillId="0" borderId="51" xfId="0" applyBorder="1" applyAlignment="1" applyProtection="1">
      <alignment vertical="center"/>
      <protection hidden="1"/>
    </xf>
    <xf numFmtId="3" fontId="16" fillId="0" borderId="1" xfId="0" applyNumberFormat="1" applyFont="1" applyBorder="1" applyAlignment="1" applyProtection="1">
      <alignment horizontal="center" wrapText="1"/>
      <protection hidden="1"/>
    </xf>
    <xf numFmtId="3" fontId="5" fillId="0" borderId="31" xfId="0" applyNumberFormat="1" applyFont="1" applyBorder="1" applyAlignment="1">
      <alignment wrapText="1"/>
    </xf>
    <xf numFmtId="0" fontId="5" fillId="0" borderId="18" xfId="0" applyFont="1" applyBorder="1"/>
    <xf numFmtId="0" fontId="5" fillId="0" borderId="19" xfId="0" applyFont="1" applyBorder="1"/>
    <xf numFmtId="168" fontId="0" fillId="0" borderId="52" xfId="0" applyNumberFormat="1" applyBorder="1" applyAlignment="1">
      <alignment horizontal="center"/>
    </xf>
    <xf numFmtId="168" fontId="0" fillId="0" borderId="53" xfId="0" applyNumberFormat="1" applyBorder="1" applyAlignment="1">
      <alignment horizontal="center"/>
    </xf>
    <xf numFmtId="3" fontId="5" fillId="0" borderId="31" xfId="0" applyNumberFormat="1" applyFont="1" applyBorder="1" applyAlignment="1" applyProtection="1">
      <alignment horizontal="center" vertical="center" wrapText="1"/>
      <protection hidden="1"/>
    </xf>
    <xf numFmtId="0" fontId="5" fillId="0" borderId="18" xfId="0" applyFont="1" applyBorder="1" applyAlignment="1" applyProtection="1">
      <alignment wrapText="1"/>
      <protection hidden="1"/>
    </xf>
    <xf numFmtId="0" fontId="5" fillId="0" borderId="19" xfId="0" applyFont="1" applyBorder="1" applyAlignment="1" applyProtection="1">
      <alignment wrapText="1"/>
      <protection hidden="1"/>
    </xf>
    <xf numFmtId="165" fontId="0" fillId="5" borderId="18" xfId="0" applyNumberFormat="1" applyFill="1" applyBorder="1" applyAlignment="1" applyProtection="1">
      <alignment horizontal="center"/>
      <protection locked="0"/>
    </xf>
    <xf numFmtId="165" fontId="0" fillId="5" borderId="19" xfId="0" applyNumberFormat="1" applyFill="1" applyBorder="1" applyAlignment="1" applyProtection="1">
      <alignment horizontal="center"/>
      <protection locked="0"/>
    </xf>
    <xf numFmtId="3" fontId="16" fillId="0" borderId="1" xfId="0" applyNumberFormat="1" applyFont="1" applyBorder="1" applyAlignment="1" applyProtection="1">
      <alignment horizontal="center" vertical="center" wrapText="1"/>
      <protection hidden="1"/>
    </xf>
    <xf numFmtId="3"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3" fontId="1" fillId="0" borderId="0" xfId="0" applyNumberFormat="1" applyFont="1"/>
    <xf numFmtId="0" fontId="0" fillId="0" borderId="0" xfId="0"/>
    <xf numFmtId="9" fontId="5" fillId="0" borderId="31" xfId="0" applyNumberFormat="1" applyFont="1" applyBorder="1" applyAlignment="1" applyProtection="1">
      <alignment horizontal="center" vertical="center" wrapText="1"/>
      <protection hidden="1"/>
    </xf>
    <xf numFmtId="0" fontId="5" fillId="0" borderId="18" xfId="0" applyFont="1" applyBorder="1" applyProtection="1">
      <protection hidden="1"/>
    </xf>
    <xf numFmtId="0" fontId="5" fillId="0" borderId="19" xfId="0" applyFont="1" applyBorder="1" applyProtection="1">
      <protection hidden="1"/>
    </xf>
    <xf numFmtId="3" fontId="5" fillId="0" borderId="23" xfId="0" applyNumberFormat="1" applyFont="1" applyBorder="1" applyAlignment="1">
      <alignment horizontal="right" vertical="center" wrapText="1"/>
    </xf>
    <xf numFmtId="0" fontId="0" fillId="0" borderId="22" xfId="0" applyBorder="1" applyAlignment="1">
      <alignment vertical="center" wrapText="1"/>
    </xf>
    <xf numFmtId="165" fontId="0" fillId="0" borderId="31" xfId="0" applyNumberFormat="1" applyBorder="1" applyAlignment="1" applyProtection="1">
      <alignment horizontal="center" vertical="center"/>
      <protection hidden="1"/>
    </xf>
    <xf numFmtId="165" fontId="0" fillId="0" borderId="18" xfId="0" applyNumberFormat="1" applyBorder="1" applyAlignment="1" applyProtection="1">
      <alignment horizontal="center" vertical="center"/>
      <protection hidden="1"/>
    </xf>
    <xf numFmtId="165" fontId="0" fillId="0" borderId="19" xfId="0" applyNumberFormat="1" applyBorder="1" applyAlignment="1" applyProtection="1">
      <alignment horizontal="center" vertical="center"/>
      <protection hidden="1"/>
    </xf>
    <xf numFmtId="0" fontId="0" fillId="0" borderId="36" xfId="0" applyBorder="1" applyAlignment="1">
      <alignment horizontal="center"/>
    </xf>
    <xf numFmtId="9" fontId="5" fillId="0" borderId="22" xfId="0" applyNumberFormat="1" applyFont="1" applyBorder="1" applyAlignment="1" applyProtection="1">
      <alignment horizontal="left" vertical="center" wrapText="1"/>
      <protection hidden="1"/>
    </xf>
    <xf numFmtId="0" fontId="0" fillId="3" borderId="47" xfId="0" applyFill="1" applyBorder="1" applyAlignment="1" applyProtection="1">
      <alignment horizontal="center" vertical="center"/>
      <protection locked="0"/>
    </xf>
    <xf numFmtId="0" fontId="5" fillId="0" borderId="18" xfId="0" applyFont="1" applyBorder="1" applyAlignment="1">
      <alignment wrapText="1"/>
    </xf>
    <xf numFmtId="0" fontId="0" fillId="0" borderId="19" xfId="0" applyBorder="1" applyAlignment="1">
      <alignment wrapText="1"/>
    </xf>
    <xf numFmtId="3" fontId="2" fillId="0" borderId="45" xfId="0" applyNumberFormat="1" applyFont="1" applyBorder="1" applyAlignment="1">
      <alignment horizontal="center" vertical="center" wrapText="1"/>
    </xf>
    <xf numFmtId="0" fontId="0" fillId="0" borderId="48" xfId="0" applyBorder="1"/>
    <xf numFmtId="3" fontId="2" fillId="0" borderId="49" xfId="0" applyNumberFormat="1" applyFont="1" applyBorder="1" applyAlignment="1">
      <alignment horizontal="center"/>
    </xf>
    <xf numFmtId="0" fontId="0" fillId="0" borderId="49" xfId="0" applyBorder="1"/>
    <xf numFmtId="0" fontId="0" fillId="0" borderId="50" xfId="0" applyBorder="1"/>
    <xf numFmtId="14" fontId="0" fillId="3" borderId="0" xfId="0" applyNumberFormat="1" applyFill="1" applyAlignment="1" applyProtection="1">
      <alignment horizontal="center"/>
      <protection locked="0" hidden="1"/>
    </xf>
    <xf numFmtId="14" fontId="0" fillId="3" borderId="0" xfId="0" applyNumberFormat="1" applyFill="1" applyProtection="1">
      <protection locked="0" hidden="1"/>
    </xf>
    <xf numFmtId="0" fontId="0" fillId="0" borderId="4" xfId="0" applyBorder="1"/>
    <xf numFmtId="3" fontId="2" fillId="0" borderId="31" xfId="0" applyNumberFormat="1" applyFont="1" applyBorder="1" applyAlignment="1">
      <alignment wrapText="1"/>
    </xf>
    <xf numFmtId="0" fontId="0" fillId="0" borderId="18" xfId="0" applyBorder="1" applyAlignment="1">
      <alignment wrapText="1"/>
    </xf>
    <xf numFmtId="166" fontId="5" fillId="0" borderId="31" xfId="0" applyNumberFormat="1" applyFont="1" applyBorder="1" applyAlignment="1" applyProtection="1">
      <alignment horizontal="center" vertical="center"/>
      <protection hidden="1"/>
    </xf>
    <xf numFmtId="0" fontId="0" fillId="3" borderId="79" xfId="0" applyFill="1" applyBorder="1" applyAlignment="1" applyProtection="1">
      <alignment horizontal="center" vertical="center"/>
      <protection locked="0"/>
    </xf>
    <xf numFmtId="3" fontId="0" fillId="0" borderId="22" xfId="0" applyNumberFormat="1" applyBorder="1" applyAlignment="1" applyProtection="1">
      <alignment horizontal="center"/>
      <protection hidden="1"/>
    </xf>
    <xf numFmtId="0" fontId="0" fillId="0" borderId="43" xfId="0" applyBorder="1" applyProtection="1">
      <protection hidden="1"/>
    </xf>
    <xf numFmtId="14" fontId="0" fillId="0" borderId="0" xfId="0" applyNumberFormat="1" applyAlignment="1" applyProtection="1">
      <alignment horizontal="center"/>
      <protection hidden="1"/>
    </xf>
    <xf numFmtId="0" fontId="0" fillId="0" borderId="4" xfId="0" applyBorder="1" applyAlignment="1">
      <alignment horizontal="center"/>
    </xf>
    <xf numFmtId="3" fontId="1" fillId="0" borderId="4" xfId="0" applyNumberFormat="1" applyFont="1" applyBorder="1" applyAlignment="1">
      <alignment horizontal="center"/>
    </xf>
    <xf numFmtId="3" fontId="13" fillId="0" borderId="1" xfId="0" applyNumberFormat="1"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1" fontId="13" fillId="0" borderId="1" xfId="0" applyNumberFormat="1" applyFont="1" applyBorder="1" applyAlignment="1" applyProtection="1">
      <alignment horizontal="center" vertical="center" wrapText="1"/>
      <protection hidden="1"/>
    </xf>
    <xf numFmtId="0" fontId="0" fillId="0" borderId="2" xfId="0" applyBorder="1"/>
    <xf numFmtId="14" fontId="0" fillId="0" borderId="0" xfId="0" applyNumberFormat="1" applyAlignment="1" applyProtection="1">
      <alignment horizontal="center"/>
      <protection locked="0"/>
    </xf>
    <xf numFmtId="168" fontId="0" fillId="0" borderId="31" xfId="0" applyNumberFormat="1" applyBorder="1" applyAlignment="1">
      <alignment horizontal="center"/>
    </xf>
    <xf numFmtId="168" fontId="0" fillId="0" borderId="18" xfId="0" applyNumberFormat="1" applyBorder="1" applyAlignment="1">
      <alignment horizontal="center"/>
    </xf>
    <xf numFmtId="168" fontId="0" fillId="0" borderId="19" xfId="0" applyNumberFormat="1" applyBorder="1" applyAlignment="1">
      <alignment horizontal="center"/>
    </xf>
    <xf numFmtId="168" fontId="0" fillId="0" borderId="18" xfId="0" applyNumberFormat="1" applyBorder="1"/>
    <xf numFmtId="168" fontId="0" fillId="0" borderId="19" xfId="0" applyNumberFormat="1" applyBorder="1"/>
    <xf numFmtId="3" fontId="5" fillId="0" borderId="31" xfId="0" applyNumberFormat="1" applyFont="1" applyBorder="1" applyAlignment="1">
      <alignment horizontal="right" wrapText="1"/>
    </xf>
    <xf numFmtId="0" fontId="5" fillId="0" borderId="18" xfId="0" applyFont="1" applyBorder="1" applyAlignment="1">
      <alignment horizontal="right" wrapText="1"/>
    </xf>
    <xf numFmtId="0" fontId="0" fillId="0" borderId="18" xfId="0" applyBorder="1" applyAlignment="1">
      <alignment horizontal="right"/>
    </xf>
    <xf numFmtId="3" fontId="0" fillId="3" borderId="20" xfId="0" applyNumberFormat="1" applyFill="1" applyBorder="1" applyAlignment="1" applyProtection="1">
      <alignment wrapText="1"/>
      <protection locked="0"/>
    </xf>
    <xf numFmtId="0" fontId="0" fillId="3" borderId="20" xfId="0" applyFill="1" applyBorder="1" applyAlignment="1" applyProtection="1">
      <alignment wrapText="1"/>
      <protection locked="0"/>
    </xf>
    <xf numFmtId="3" fontId="0" fillId="3" borderId="31" xfId="0" applyNumberFormat="1" applyFill="1" applyBorder="1" applyAlignment="1" applyProtection="1">
      <alignment wrapText="1"/>
      <protection locked="0"/>
    </xf>
    <xf numFmtId="0" fontId="0" fillId="3" borderId="18" xfId="0" applyFill="1" applyBorder="1" applyAlignment="1" applyProtection="1">
      <alignment wrapText="1"/>
      <protection locked="0"/>
    </xf>
    <xf numFmtId="0" fontId="0" fillId="3" borderId="19" xfId="0" applyFill="1" applyBorder="1" applyAlignment="1" applyProtection="1">
      <alignment wrapText="1"/>
      <protection locked="0"/>
    </xf>
    <xf numFmtId="3" fontId="1" fillId="3" borderId="31" xfId="0" applyNumberFormat="1" applyFont="1" applyFill="1" applyBorder="1" applyAlignment="1" applyProtection="1">
      <alignment wrapText="1"/>
      <protection locked="0"/>
    </xf>
    <xf numFmtId="0" fontId="0" fillId="3" borderId="18" xfId="0" applyFill="1" applyBorder="1" applyAlignment="1">
      <alignment wrapText="1"/>
    </xf>
    <xf numFmtId="0" fontId="0" fillId="3" borderId="19" xfId="0" applyFill="1" applyBorder="1" applyAlignment="1">
      <alignment wrapText="1"/>
    </xf>
    <xf numFmtId="3" fontId="1" fillId="0" borderId="0" xfId="0" applyNumberFormat="1" applyFont="1" applyAlignment="1">
      <alignment horizontal="center" vertical="center" wrapText="1"/>
    </xf>
    <xf numFmtId="0" fontId="0" fillId="0" borderId="0" xfId="0" applyAlignment="1">
      <alignment horizontal="center" vertical="center"/>
    </xf>
    <xf numFmtId="167" fontId="1" fillId="0" borderId="30" xfId="0" applyNumberFormat="1" applyFont="1" applyBorder="1" applyAlignment="1" applyProtection="1">
      <alignment horizontal="center" vertical="center"/>
      <protection hidden="1"/>
    </xf>
    <xf numFmtId="167" fontId="0" fillId="3" borderId="30" xfId="0" applyNumberFormat="1" applyFill="1" applyBorder="1" applyAlignment="1" applyProtection="1">
      <alignment horizontal="center" vertical="center"/>
      <protection locked="0"/>
    </xf>
    <xf numFmtId="3" fontId="21" fillId="0" borderId="2" xfId="0" applyNumberFormat="1"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14" fontId="21" fillId="0" borderId="2" xfId="0" applyNumberFormat="1" applyFont="1" applyBorder="1" applyAlignment="1" applyProtection="1">
      <alignment horizontal="center"/>
      <protection locked="0"/>
    </xf>
    <xf numFmtId="14" fontId="0" fillId="0" borderId="2" xfId="0" applyNumberFormat="1" applyBorder="1" applyAlignment="1" applyProtection="1">
      <alignment horizontal="center"/>
      <protection locked="0"/>
    </xf>
    <xf numFmtId="0" fontId="21" fillId="0" borderId="0" xfId="0" applyFont="1" applyAlignment="1">
      <alignment horizontal="right" vertical="center"/>
    </xf>
    <xf numFmtId="0" fontId="0" fillId="0" borderId="0" xfId="0" applyAlignment="1">
      <alignment horizontal="right"/>
    </xf>
    <xf numFmtId="0" fontId="25" fillId="0" borderId="0" xfId="0" applyFont="1" applyAlignment="1" applyProtection="1">
      <alignment horizontal="left"/>
      <protection locked="0"/>
    </xf>
    <xf numFmtId="0" fontId="24" fillId="0" borderId="0" xfId="0" applyFont="1" applyAlignment="1" applyProtection="1">
      <alignment horizontal="left"/>
      <protection locked="0"/>
    </xf>
    <xf numFmtId="0" fontId="25" fillId="0" borderId="0" xfId="0" applyFont="1" applyProtection="1">
      <protection locked="0"/>
    </xf>
    <xf numFmtId="0" fontId="24" fillId="0" borderId="0" xfId="0" applyFont="1" applyProtection="1">
      <protection locked="0"/>
    </xf>
    <xf numFmtId="0" fontId="0" fillId="3" borderId="31" xfId="0" applyFill="1" applyBorder="1" applyProtection="1">
      <protection locked="0"/>
    </xf>
    <xf numFmtId="166" fontId="0" fillId="3" borderId="31" xfId="0" applyNumberFormat="1" applyFill="1" applyBorder="1" applyAlignment="1" applyProtection="1">
      <alignment horizontal="center"/>
      <protection locked="0"/>
    </xf>
    <xf numFmtId="3" fontId="2" fillId="0" borderId="0" xfId="0" applyNumberFormat="1" applyFont="1" applyAlignment="1">
      <alignment horizontal="center"/>
    </xf>
    <xf numFmtId="0" fontId="5" fillId="0" borderId="0" xfId="0" applyFont="1" applyAlignment="1">
      <alignment horizontal="right"/>
    </xf>
    <xf numFmtId="0" fontId="6" fillId="0" borderId="31" xfId="0" applyFont="1" applyBorder="1" applyAlignment="1">
      <alignment horizontal="center"/>
    </xf>
    <xf numFmtId="0" fontId="6" fillId="0" borderId="19" xfId="0" applyFont="1" applyBorder="1" applyAlignment="1">
      <alignment horizontal="center"/>
    </xf>
    <xf numFmtId="0" fontId="0" fillId="3" borderId="31" xfId="0" applyFill="1" applyBorder="1" applyAlignment="1" applyProtection="1">
      <alignment horizontal="center"/>
      <protection locked="0"/>
    </xf>
    <xf numFmtId="0" fontId="0" fillId="3" borderId="18" xfId="0" applyFill="1" applyBorder="1" applyProtection="1">
      <protection locked="0"/>
    </xf>
    <xf numFmtId="0" fontId="0" fillId="3" borderId="19" xfId="0" applyFill="1" applyBorder="1" applyProtection="1">
      <protection locked="0"/>
    </xf>
    <xf numFmtId="166" fontId="6" fillId="3" borderId="31" xfId="0" applyNumberFormat="1" applyFont="1" applyFill="1" applyBorder="1" applyAlignment="1" applyProtection="1">
      <alignment horizontal="center" vertical="center" wrapText="1"/>
      <protection locked="0"/>
    </xf>
    <xf numFmtId="166" fontId="6" fillId="3" borderId="19" xfId="0" applyNumberFormat="1" applyFont="1" applyFill="1" applyBorder="1" applyAlignment="1" applyProtection="1">
      <alignment horizontal="center" vertical="center" wrapText="1"/>
      <protection locked="0"/>
    </xf>
    <xf numFmtId="14" fontId="0" fillId="3" borderId="20" xfId="0" applyNumberFormat="1" applyFill="1" applyBorder="1" applyAlignment="1" applyProtection="1">
      <alignment horizontal="center"/>
      <protection locked="0"/>
    </xf>
    <xf numFmtId="0" fontId="0" fillId="3" borderId="20" xfId="0" applyFill="1" applyBorder="1" applyAlignment="1" applyProtection="1">
      <alignment horizontal="center"/>
      <protection locked="0"/>
    </xf>
    <xf numFmtId="0" fontId="0" fillId="3" borderId="19" xfId="0" applyFill="1" applyBorder="1" applyAlignment="1" applyProtection="1">
      <alignment horizontal="center"/>
      <protection locked="0"/>
    </xf>
    <xf numFmtId="166" fontId="0" fillId="3" borderId="31" xfId="0" applyNumberFormat="1"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1" fillId="0" borderId="0" xfId="0" applyFont="1" applyAlignment="1">
      <alignment horizontal="center"/>
    </xf>
    <xf numFmtId="0" fontId="0" fillId="0" borderId="0" xfId="0" applyAlignment="1">
      <alignment horizontal="center"/>
    </xf>
    <xf numFmtId="164" fontId="0" fillId="3" borderId="1" xfId="0" applyNumberFormat="1" applyFill="1" applyBorder="1" applyAlignment="1" applyProtection="1">
      <alignment horizontal="center" vertical="center"/>
      <protection locked="0" hidden="1"/>
    </xf>
    <xf numFmtId="0" fontId="0" fillId="3" borderId="1" xfId="0" applyFill="1" applyBorder="1" applyAlignment="1" applyProtection="1">
      <alignment vertical="center"/>
      <protection locked="0" hidden="1"/>
    </xf>
    <xf numFmtId="3" fontId="1" fillId="0" borderId="0" xfId="0" applyNumberFormat="1" applyFont="1" applyAlignment="1">
      <alignment horizontal="center"/>
    </xf>
    <xf numFmtId="8" fontId="6" fillId="0" borderId="31" xfId="0" applyNumberFormat="1" applyFont="1" applyBorder="1" applyAlignment="1" applyProtection="1">
      <alignment horizontal="center" vertical="center" wrapText="1"/>
      <protection hidden="1"/>
    </xf>
    <xf numFmtId="8" fontId="6" fillId="0" borderId="19" xfId="0" applyNumberFormat="1" applyFont="1" applyBorder="1" applyAlignment="1" applyProtection="1">
      <alignment horizontal="center" vertical="center" wrapText="1"/>
      <protection hidden="1"/>
    </xf>
    <xf numFmtId="0" fontId="7" fillId="0" borderId="0" xfId="0" applyFont="1" applyAlignment="1">
      <alignment horizontal="center" vertical="center"/>
    </xf>
    <xf numFmtId="166" fontId="6" fillId="0" borderId="31" xfId="0" applyNumberFormat="1" applyFont="1" applyBorder="1" applyAlignment="1" applyProtection="1">
      <alignment horizontal="center" vertical="center"/>
      <protection hidden="1"/>
    </xf>
    <xf numFmtId="166" fontId="6" fillId="0" borderId="19" xfId="0" applyNumberFormat="1" applyFont="1" applyBorder="1" applyAlignment="1" applyProtection="1">
      <alignment horizontal="center" vertical="center"/>
      <protection hidden="1"/>
    </xf>
    <xf numFmtId="3" fontId="6" fillId="0" borderId="0" xfId="0" applyNumberFormat="1" applyFont="1" applyAlignment="1">
      <alignment horizontal="center" vertical="center" wrapText="1"/>
    </xf>
    <xf numFmtId="0" fontId="6" fillId="0" borderId="0" xfId="0" applyFont="1" applyAlignment="1">
      <alignment horizontal="center" vertical="center"/>
    </xf>
    <xf numFmtId="167" fontId="6" fillId="0" borderId="30" xfId="0" applyNumberFormat="1" applyFont="1" applyBorder="1" applyAlignment="1" applyProtection="1">
      <alignment horizontal="center" vertical="center"/>
      <protection hidden="1"/>
    </xf>
    <xf numFmtId="167" fontId="6" fillId="3" borderId="30" xfId="0" applyNumberFormat="1" applyFont="1" applyFill="1" applyBorder="1" applyAlignment="1" applyProtection="1">
      <alignment horizontal="center" vertical="center"/>
      <protection locked="0"/>
    </xf>
    <xf numFmtId="0" fontId="6" fillId="0" borderId="0" xfId="0" applyFont="1" applyAlignment="1">
      <alignment horizontal="center" vertical="center" wrapText="1"/>
    </xf>
    <xf numFmtId="0" fontId="6" fillId="0" borderId="37" xfId="0" applyFont="1" applyBorder="1" applyAlignment="1">
      <alignment horizontal="center" vertical="center" wrapText="1"/>
    </xf>
    <xf numFmtId="0" fontId="0" fillId="0" borderId="37" xfId="0" applyBorder="1" applyAlignment="1">
      <alignment horizontal="center" vertical="center"/>
    </xf>
    <xf numFmtId="0" fontId="1" fillId="3" borderId="31" xfId="0" applyFont="1" applyFill="1" applyBorder="1" applyProtection="1">
      <protection locked="0"/>
    </xf>
    <xf numFmtId="167" fontId="0" fillId="3" borderId="20" xfId="0" applyNumberForma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14" fontId="0" fillId="3" borderId="31" xfId="0" applyNumberFormat="1" applyFill="1" applyBorder="1" applyAlignment="1" applyProtection="1">
      <alignment horizontal="center"/>
      <protection locked="0"/>
    </xf>
    <xf numFmtId="166" fontId="14" fillId="0" borderId="30" xfId="0" applyNumberFormat="1" applyFont="1" applyBorder="1" applyAlignment="1" applyProtection="1">
      <alignment horizontal="center" vertical="top"/>
      <protection hidden="1"/>
    </xf>
    <xf numFmtId="0" fontId="0" fillId="0" borderId="30" xfId="0" applyBorder="1" applyAlignment="1" applyProtection="1">
      <alignment horizontal="center" vertical="top"/>
      <protection hidden="1"/>
    </xf>
    <xf numFmtId="0" fontId="1" fillId="0" borderId="0" xfId="0" applyFont="1"/>
    <xf numFmtId="0" fontId="1" fillId="0" borderId="30" xfId="0" applyFont="1" applyBorder="1" applyAlignment="1">
      <alignment horizontal="center" vertical="center"/>
    </xf>
    <xf numFmtId="0" fontId="0" fillId="0" borderId="30" xfId="0" applyBorder="1" applyAlignment="1">
      <alignment horizontal="center" vertical="center"/>
    </xf>
    <xf numFmtId="0" fontId="1" fillId="3" borderId="31" xfId="0" applyFont="1" applyFill="1" applyBorder="1" applyAlignment="1" applyProtection="1">
      <alignment wrapText="1"/>
      <protection locked="0"/>
    </xf>
    <xf numFmtId="164" fontId="0" fillId="3" borderId="0" xfId="0" applyNumberFormat="1" applyFill="1" applyAlignment="1" applyProtection="1">
      <alignment horizontal="center" vertical="center"/>
      <protection locked="0" hidden="1"/>
    </xf>
    <xf numFmtId="0" fontId="0" fillId="3" borderId="0" xfId="0" applyFill="1" applyProtection="1">
      <protection locked="0"/>
    </xf>
    <xf numFmtId="0" fontId="0" fillId="0" borderId="1" xfId="0" applyBorder="1" applyAlignment="1" applyProtection="1">
      <alignment wrapText="1"/>
      <protection hidden="1"/>
    </xf>
    <xf numFmtId="3" fontId="2" fillId="0" borderId="4" xfId="0" applyNumberFormat="1" applyFont="1" applyBorder="1" applyAlignment="1" applyProtection="1">
      <alignment horizontal="center" wrapText="1"/>
      <protection hidden="1"/>
    </xf>
    <xf numFmtId="0" fontId="0" fillId="0" borderId="4" xfId="0" applyBorder="1" applyAlignment="1" applyProtection="1">
      <alignment wrapText="1"/>
      <protection hidden="1"/>
    </xf>
    <xf numFmtId="3" fontId="1" fillId="0" borderId="4" xfId="0" applyNumberFormat="1" applyFont="1" applyBorder="1" applyAlignment="1" applyProtection="1">
      <alignment horizontal="center" wrapText="1"/>
      <protection hidden="1"/>
    </xf>
    <xf numFmtId="0" fontId="0" fillId="0" borderId="4" xfId="0" applyBorder="1" applyAlignment="1" applyProtection="1">
      <alignment horizontal="center" wrapText="1"/>
      <protection hidden="1"/>
    </xf>
    <xf numFmtId="3" fontId="24" fillId="3" borderId="2" xfId="0" applyNumberFormat="1" applyFont="1" applyFill="1" applyBorder="1" applyProtection="1">
      <protection locked="0"/>
    </xf>
    <xf numFmtId="0" fontId="24" fillId="3" borderId="2" xfId="0" applyFont="1" applyFill="1" applyBorder="1" applyProtection="1">
      <protection locked="0"/>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Protection="1">
      <protection hidden="1"/>
    </xf>
    <xf numFmtId="0" fontId="1" fillId="0" borderId="61" xfId="0" applyFont="1" applyBorder="1" applyAlignment="1">
      <alignment wrapText="1"/>
    </xf>
    <xf numFmtId="0" fontId="0" fillId="0" borderId="62" xfId="0" applyBorder="1" applyAlignment="1">
      <alignment wrapText="1"/>
    </xf>
    <xf numFmtId="0" fontId="1" fillId="0" borderId="41" xfId="0" applyFont="1" applyBorder="1" applyAlignment="1">
      <alignment wrapText="1"/>
    </xf>
    <xf numFmtId="0" fontId="0" fillId="0" borderId="12" xfId="0" applyBorder="1" applyAlignment="1">
      <alignment wrapText="1"/>
    </xf>
    <xf numFmtId="0" fontId="1" fillId="0" borderId="62" xfId="0" applyFont="1" applyBorder="1" applyAlignment="1">
      <alignment wrapText="1"/>
    </xf>
    <xf numFmtId="0" fontId="1" fillId="0" borderId="33" xfId="0" applyFont="1" applyBorder="1" applyAlignment="1">
      <alignment wrapText="1"/>
    </xf>
    <xf numFmtId="0" fontId="0" fillId="0" borderId="33" xfId="0" applyBorder="1" applyAlignment="1">
      <alignment wrapText="1"/>
    </xf>
    <xf numFmtId="0" fontId="1" fillId="0" borderId="58" xfId="0" applyFont="1" applyBorder="1" applyAlignment="1">
      <alignment horizontal="center" vertical="center"/>
    </xf>
    <xf numFmtId="0" fontId="0" fillId="0" borderId="59" xfId="0" applyBorder="1" applyAlignment="1">
      <alignment horizontal="center" vertical="center"/>
    </xf>
    <xf numFmtId="0" fontId="1" fillId="0" borderId="61" xfId="0" applyFont="1" applyBorder="1"/>
    <xf numFmtId="0" fontId="0" fillId="0" borderId="62" xfId="0" applyBorder="1"/>
    <xf numFmtId="3" fontId="13" fillId="3" borderId="2" xfId="0" applyNumberFormat="1" applyFont="1" applyFill="1" applyBorder="1" applyAlignment="1" applyProtection="1">
      <alignment wrapText="1"/>
      <protection locked="0"/>
    </xf>
    <xf numFmtId="0" fontId="13" fillId="3" borderId="2" xfId="0" applyFont="1" applyFill="1" applyBorder="1" applyAlignment="1" applyProtection="1">
      <alignment wrapText="1"/>
      <protection locked="0"/>
    </xf>
    <xf numFmtId="9" fontId="0" fillId="0" borderId="57" xfId="0" applyNumberFormat="1" applyBorder="1" applyAlignment="1">
      <alignment horizontal="center" vertical="center"/>
    </xf>
    <xf numFmtId="0" fontId="0" fillId="0" borderId="20" xfId="0" applyBorder="1" applyAlignment="1">
      <alignment horizontal="center" vertical="center"/>
    </xf>
    <xf numFmtId="0" fontId="1" fillId="0" borderId="61" xfId="0" applyFont="1" applyBorder="1" applyAlignment="1">
      <alignment horizontal="left" vertical="center" wrapText="1"/>
    </xf>
    <xf numFmtId="0" fontId="0" fillId="0" borderId="62" xfId="0" applyBorder="1" applyAlignment="1">
      <alignment horizontal="left" vertical="center" wrapText="1"/>
    </xf>
    <xf numFmtId="0" fontId="1" fillId="0" borderId="82" xfId="0" applyFont="1" applyBorder="1" applyAlignment="1">
      <alignment horizontal="left" vertical="center" wrapText="1"/>
    </xf>
    <xf numFmtId="0" fontId="0" fillId="0" borderId="42" xfId="0" applyBorder="1" applyAlignment="1">
      <alignment horizontal="left" vertical="center" wrapText="1"/>
    </xf>
    <xf numFmtId="3" fontId="15" fillId="0" borderId="0" xfId="0" applyNumberFormat="1" applyFont="1" applyAlignment="1" applyProtection="1">
      <alignment horizontal="right"/>
      <protection hidden="1"/>
    </xf>
    <xf numFmtId="0" fontId="15" fillId="0" borderId="0" xfId="0" applyFont="1" applyProtection="1">
      <protection hidden="1"/>
    </xf>
    <xf numFmtId="0" fontId="1" fillId="0" borderId="34" xfId="0" applyFont="1" applyBorder="1" applyAlignment="1">
      <alignment vertical="center" wrapText="1"/>
    </xf>
    <xf numFmtId="0" fontId="0" fillId="0" borderId="35" xfId="0" applyBorder="1" applyAlignment="1">
      <alignment vertical="center" wrapText="1"/>
    </xf>
    <xf numFmtId="3" fontId="2" fillId="0" borderId="4" xfId="0" applyNumberFormat="1" applyFont="1" applyBorder="1" applyAlignment="1" applyProtection="1">
      <alignment horizontal="center"/>
      <protection hidden="1"/>
    </xf>
    <xf numFmtId="0" fontId="0" fillId="0" borderId="4" xfId="0" applyBorder="1" applyAlignment="1" applyProtection="1">
      <alignment horizontal="center"/>
      <protection hidden="1"/>
    </xf>
    <xf numFmtId="0" fontId="1" fillId="0" borderId="83" xfId="0" applyFont="1" applyBorder="1" applyAlignment="1">
      <alignment vertical="center" wrapText="1"/>
    </xf>
    <xf numFmtId="0" fontId="0" fillId="0" borderId="87" xfId="0" applyBorder="1" applyAlignment="1">
      <alignment vertical="center" wrapText="1"/>
    </xf>
    <xf numFmtId="1" fontId="13" fillId="3" borderId="1" xfId="0" applyNumberFormat="1" applyFont="1" applyFill="1" applyBorder="1" applyAlignment="1" applyProtection="1">
      <alignment horizontal="center" vertical="center" wrapText="1"/>
      <protection locked="0" hidden="1"/>
    </xf>
    <xf numFmtId="3" fontId="1" fillId="3" borderId="1"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wrapText="1"/>
      <protection locked="0"/>
    </xf>
    <xf numFmtId="0" fontId="0" fillId="3" borderId="1" xfId="0" applyFill="1" applyBorder="1" applyProtection="1">
      <protection locked="0" hidden="1"/>
    </xf>
    <xf numFmtId="3" fontId="2" fillId="0" borderId="0" xfId="0" applyNumberFormat="1" applyFont="1" applyAlignment="1" applyProtection="1">
      <alignment horizontal="center"/>
      <protection hidden="1"/>
    </xf>
    <xf numFmtId="0" fontId="0" fillId="0" borderId="0" xfId="0" applyProtection="1">
      <protection hidden="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166" fontId="6" fillId="3" borderId="31" xfId="0" applyNumberFormat="1" applyFont="1" applyFill="1" applyBorder="1" applyAlignment="1" applyProtection="1">
      <alignment horizontal="center" vertical="center" wrapText="1"/>
      <protection locked="0" hidden="1"/>
    </xf>
    <xf numFmtId="166" fontId="6" fillId="3" borderId="19" xfId="0" applyNumberFormat="1" applyFont="1" applyFill="1" applyBorder="1" applyAlignment="1" applyProtection="1">
      <alignment horizontal="center" vertical="center" wrapText="1"/>
      <protection locked="0" hidden="1"/>
    </xf>
    <xf numFmtId="0" fontId="6" fillId="0" borderId="0" xfId="0" applyFont="1" applyAlignment="1">
      <alignment horizontal="left" vertical="center" wrapText="1"/>
    </xf>
    <xf numFmtId="0" fontId="6" fillId="0" borderId="37" xfId="0" applyFont="1" applyBorder="1" applyAlignment="1">
      <alignment horizontal="left" vertical="center" wrapText="1"/>
    </xf>
    <xf numFmtId="8" fontId="6" fillId="3" borderId="31" xfId="0" applyNumberFormat="1" applyFont="1" applyFill="1" applyBorder="1" applyAlignment="1" applyProtection="1">
      <alignment horizontal="center" vertical="center" wrapText="1"/>
      <protection locked="0" hidden="1"/>
    </xf>
    <xf numFmtId="8" fontId="6" fillId="3" borderId="19" xfId="0" applyNumberFormat="1" applyFont="1" applyFill="1" applyBorder="1" applyAlignment="1" applyProtection="1">
      <alignment horizontal="center" vertical="center" wrapText="1"/>
      <protection locked="0" hidden="1"/>
    </xf>
    <xf numFmtId="0" fontId="6" fillId="0" borderId="0" xfId="0" applyFont="1" applyAlignment="1">
      <alignment wrapText="1"/>
    </xf>
    <xf numFmtId="0" fontId="0" fillId="0" borderId="0" xfId="0" applyAlignment="1">
      <alignment wrapText="1"/>
    </xf>
    <xf numFmtId="0" fontId="0" fillId="0" borderId="37" xfId="0" applyBorder="1" applyAlignment="1">
      <alignment wrapText="1"/>
    </xf>
    <xf numFmtId="3" fontId="16" fillId="0" borderId="0" xfId="0" applyNumberFormat="1" applyFont="1" applyAlignment="1">
      <alignment horizontal="left"/>
    </xf>
    <xf numFmtId="0" fontId="16" fillId="0" borderId="0" xfId="0" applyFont="1" applyAlignment="1">
      <alignment horizontal="left"/>
    </xf>
    <xf numFmtId="0" fontId="13" fillId="0" borderId="0" xfId="0" applyFont="1"/>
  </cellXfs>
  <cellStyles count="2">
    <cellStyle name="Comma" xfId="1" builtinId="3"/>
    <cellStyle name="Normal" xfId="0" builtinId="0"/>
  </cellStyles>
  <dxfs count="370">
    <dxf>
      <fill>
        <patternFill>
          <bgColor rgb="FFFF0000"/>
        </patternFill>
      </fill>
      <border>
        <left/>
        <right style="thin">
          <color auto="1"/>
        </right>
        <top style="thin">
          <color auto="1"/>
        </top>
        <bottom style="thin">
          <color auto="1"/>
        </bottom>
        <vertical/>
        <horizontal/>
      </border>
    </dxf>
    <dxf>
      <font>
        <color theme="1"/>
      </font>
      <fill>
        <patternFill>
          <bgColor rgb="FFFF0000"/>
        </patternFill>
      </fill>
      <border>
        <right style="thin">
          <color auto="1"/>
        </right>
        <top style="thin">
          <color auto="1"/>
        </top>
        <bottom style="thin">
          <color auto="1"/>
        </bottom>
        <vertical/>
        <horizontal/>
      </border>
    </dxf>
    <dxf>
      <font>
        <color theme="1"/>
      </font>
      <fill>
        <patternFill>
          <bgColor rgb="FFFF0000"/>
        </patternFill>
      </fill>
      <border>
        <left/>
        <right style="thin">
          <color auto="1"/>
        </right>
        <top style="thin">
          <color auto="1"/>
        </top>
        <bottom style="thin">
          <color auto="1"/>
        </bottom>
        <vertical/>
        <horizontal/>
      </border>
    </dxf>
    <dxf>
      <fill>
        <patternFill>
          <bgColor rgb="FFFF0000"/>
        </patternFill>
      </fill>
      <border>
        <top style="thin">
          <color auto="1"/>
        </top>
        <bottom style="thin">
          <color auto="1"/>
        </bottom>
        <vertical/>
        <horizontal/>
      </border>
    </dxf>
    <dxf>
      <font>
        <color theme="1"/>
      </font>
      <fill>
        <patternFill>
          <bgColor rgb="FFFF0000"/>
        </patternFill>
      </fill>
      <border>
        <top style="thin">
          <color auto="1"/>
        </top>
        <bottom style="thin">
          <color auto="1"/>
        </bottom>
        <vertical/>
        <horizontal/>
      </border>
    </dxf>
    <dxf>
      <font>
        <color theme="1"/>
      </font>
      <fill>
        <patternFill>
          <bgColor rgb="FFFF0000"/>
        </patternFill>
      </fill>
      <border>
        <left/>
        <right/>
        <top style="thin">
          <color auto="1"/>
        </top>
        <bottom style="thin">
          <color auto="1"/>
        </bottom>
        <vertical/>
        <horizontal/>
      </border>
    </dxf>
    <dxf>
      <fill>
        <patternFill>
          <bgColor rgb="FFFF0000"/>
        </patternFill>
      </fill>
      <border>
        <left style="thin">
          <color auto="1"/>
        </left>
        <top style="thin">
          <color auto="1"/>
        </top>
        <bottom style="thin">
          <color auto="1"/>
        </bottom>
        <vertical/>
        <horizontal/>
      </border>
    </dxf>
    <dxf>
      <font>
        <color theme="1"/>
      </font>
      <fill>
        <patternFill>
          <bgColor rgb="FFFF0000"/>
        </patternFill>
      </fill>
      <border>
        <left style="thin">
          <color auto="1"/>
        </left>
        <right/>
        <top style="thin">
          <color auto="1"/>
        </top>
        <bottom style="thin">
          <color auto="1"/>
        </bottom>
        <vertical/>
        <horizontal/>
      </border>
    </dxf>
    <dxf>
      <font>
        <color theme="1"/>
      </font>
      <fill>
        <patternFill>
          <bgColor rgb="FFFF0000"/>
        </patternFill>
      </fill>
      <border>
        <left style="thin">
          <color auto="1"/>
        </left>
        <right/>
        <top style="thin">
          <color auto="1"/>
        </top>
        <bottom style="thin">
          <color auto="1"/>
        </bottom>
        <vertical/>
        <horizontal/>
      </border>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border>
        <left/>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border>
        <left/>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FFCC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130"/>
  <sheetViews>
    <sheetView zoomScale="125" zoomScaleNormal="125" workbookViewId="0"/>
  </sheetViews>
  <sheetFormatPr defaultRowHeight="12.5" x14ac:dyDescent="0.25"/>
  <cols>
    <col min="1" max="1" width="4.54296875" customWidth="1"/>
    <col min="2" max="2" width="6" customWidth="1"/>
    <col min="3" max="3" width="83.1796875" customWidth="1"/>
    <col min="4" max="4" width="13.54296875" customWidth="1"/>
  </cols>
  <sheetData>
    <row r="1" spans="1:3" x14ac:dyDescent="0.25">
      <c r="A1" s="71" t="s">
        <v>99</v>
      </c>
    </row>
    <row r="2" spans="1:3" x14ac:dyDescent="0.25">
      <c r="B2" s="71" t="s">
        <v>145</v>
      </c>
    </row>
    <row r="3" spans="1:3" x14ac:dyDescent="0.25">
      <c r="A3" s="71" t="s">
        <v>213</v>
      </c>
      <c r="B3" s="71"/>
    </row>
    <row r="4" spans="1:3" x14ac:dyDescent="0.25">
      <c r="B4" s="71" t="s">
        <v>214</v>
      </c>
    </row>
    <row r="5" spans="1:3" x14ac:dyDescent="0.25">
      <c r="B5" s="71" t="s">
        <v>102</v>
      </c>
    </row>
    <row r="6" spans="1:3" x14ac:dyDescent="0.25">
      <c r="B6" s="71" t="s">
        <v>114</v>
      </c>
    </row>
    <row r="7" spans="1:3" x14ac:dyDescent="0.25">
      <c r="A7" t="s">
        <v>272</v>
      </c>
      <c r="B7" s="71"/>
    </row>
    <row r="8" spans="1:3" x14ac:dyDescent="0.25">
      <c r="B8" s="71" t="s">
        <v>273</v>
      </c>
    </row>
    <row r="9" spans="1:3" x14ac:dyDescent="0.25">
      <c r="A9" s="71" t="s">
        <v>229</v>
      </c>
      <c r="B9" s="71"/>
    </row>
    <row r="10" spans="1:3" x14ac:dyDescent="0.25">
      <c r="B10" s="71" t="s">
        <v>230</v>
      </c>
    </row>
    <row r="11" spans="1:3" ht="13" x14ac:dyDescent="0.3">
      <c r="A11" s="71" t="s">
        <v>285</v>
      </c>
      <c r="B11" s="71"/>
    </row>
    <row r="12" spans="1:3" ht="12" customHeight="1" x14ac:dyDescent="0.3">
      <c r="B12" s="71" t="s">
        <v>286</v>
      </c>
    </row>
    <row r="13" spans="1:3" ht="11.25" customHeight="1" x14ac:dyDescent="0.3">
      <c r="B13" s="71" t="s">
        <v>316</v>
      </c>
    </row>
    <row r="14" spans="1:3" ht="13" x14ac:dyDescent="0.3">
      <c r="B14" s="71"/>
      <c r="C14" s="71" t="s">
        <v>317</v>
      </c>
    </row>
    <row r="15" spans="1:3" ht="14.25" customHeight="1" x14ac:dyDescent="0.25">
      <c r="B15" s="71"/>
      <c r="C15" s="71"/>
    </row>
    <row r="16" spans="1:3" x14ac:dyDescent="0.25">
      <c r="A16" s="71" t="s">
        <v>104</v>
      </c>
    </row>
    <row r="17" spans="1:3" x14ac:dyDescent="0.25">
      <c r="A17" s="96" t="s">
        <v>200</v>
      </c>
      <c r="B17" s="97"/>
      <c r="C17" s="97"/>
    </row>
    <row r="18" spans="1:3" x14ac:dyDescent="0.25">
      <c r="A18" s="98" t="s">
        <v>105</v>
      </c>
      <c r="B18" s="99"/>
      <c r="C18" s="99"/>
    </row>
    <row r="19" spans="1:3" x14ac:dyDescent="0.25">
      <c r="A19" s="98"/>
      <c r="B19" s="98" t="s">
        <v>235</v>
      </c>
      <c r="C19" s="99"/>
    </row>
    <row r="20" spans="1:3" x14ac:dyDescent="0.25">
      <c r="A20" s="200" t="s">
        <v>318</v>
      </c>
      <c r="B20" s="201"/>
      <c r="C20" s="201"/>
    </row>
    <row r="21" spans="1:3" x14ac:dyDescent="0.25">
      <c r="A21" s="200"/>
      <c r="B21" s="201" t="s">
        <v>182</v>
      </c>
      <c r="C21" s="201"/>
    </row>
    <row r="22" spans="1:3" x14ac:dyDescent="0.25">
      <c r="A22" s="200"/>
      <c r="B22" s="200" t="s">
        <v>234</v>
      </c>
      <c r="C22" s="201"/>
    </row>
    <row r="23" spans="1:3" x14ac:dyDescent="0.25">
      <c r="A23" s="247" t="s">
        <v>302</v>
      </c>
      <c r="B23" s="247"/>
      <c r="C23" s="248"/>
    </row>
    <row r="24" spans="1:3" x14ac:dyDescent="0.25">
      <c r="A24" s="247"/>
      <c r="B24" s="247" t="s">
        <v>319</v>
      </c>
      <c r="C24" s="248"/>
    </row>
    <row r="25" spans="1:3" x14ac:dyDescent="0.25">
      <c r="A25" s="71"/>
    </row>
    <row r="26" spans="1:3" x14ac:dyDescent="0.25">
      <c r="A26" s="71" t="s">
        <v>243</v>
      </c>
      <c r="B26" s="71"/>
    </row>
    <row r="27" spans="1:3" ht="13" x14ac:dyDescent="0.3">
      <c r="A27" s="189" t="s">
        <v>236</v>
      </c>
    </row>
    <row r="28" spans="1:3" x14ac:dyDescent="0.25">
      <c r="B28" s="71" t="s">
        <v>103</v>
      </c>
    </row>
    <row r="29" spans="1:3" x14ac:dyDescent="0.25">
      <c r="B29" s="71" t="s">
        <v>225</v>
      </c>
    </row>
    <row r="30" spans="1:3" x14ac:dyDescent="0.25">
      <c r="B30" s="71" t="s">
        <v>100</v>
      </c>
    </row>
    <row r="31" spans="1:3" x14ac:dyDescent="0.25">
      <c r="B31" s="71" t="s">
        <v>115</v>
      </c>
    </row>
    <row r="32" spans="1:3" x14ac:dyDescent="0.25">
      <c r="B32" s="71" t="s">
        <v>101</v>
      </c>
    </row>
    <row r="33" spans="1:3" x14ac:dyDescent="0.25">
      <c r="B33" s="71" t="s">
        <v>237</v>
      </c>
    </row>
    <row r="34" spans="1:3" x14ac:dyDescent="0.25">
      <c r="C34" s="71" t="s">
        <v>238</v>
      </c>
    </row>
    <row r="35" spans="1:3" x14ac:dyDescent="0.25">
      <c r="C35" s="71" t="s">
        <v>244</v>
      </c>
    </row>
    <row r="36" spans="1:3" ht="9" customHeight="1" x14ac:dyDescent="0.25"/>
    <row r="37" spans="1:3" x14ac:dyDescent="0.25">
      <c r="B37" s="71" t="s">
        <v>215</v>
      </c>
    </row>
    <row r="38" spans="1:3" x14ac:dyDescent="0.25">
      <c r="C38" s="71" t="s">
        <v>183</v>
      </c>
    </row>
    <row r="39" spans="1:3" x14ac:dyDescent="0.25">
      <c r="C39" s="71" t="s">
        <v>184</v>
      </c>
    </row>
    <row r="40" spans="1:3" ht="13" x14ac:dyDescent="0.3">
      <c r="A40" s="189" t="s">
        <v>257</v>
      </c>
    </row>
    <row r="41" spans="1:3" x14ac:dyDescent="0.25">
      <c r="B41" s="71" t="s">
        <v>266</v>
      </c>
    </row>
    <row r="42" spans="1:3" ht="13" x14ac:dyDescent="0.3">
      <c r="C42" s="71" t="s">
        <v>267</v>
      </c>
    </row>
    <row r="43" spans="1:3" x14ac:dyDescent="0.25">
      <c r="B43" s="71" t="s">
        <v>216</v>
      </c>
    </row>
    <row r="44" spans="1:3" x14ac:dyDescent="0.25">
      <c r="B44" s="71" t="s">
        <v>239</v>
      </c>
    </row>
    <row r="45" spans="1:3" x14ac:dyDescent="0.25">
      <c r="B45" s="71" t="s">
        <v>258</v>
      </c>
    </row>
    <row r="46" spans="1:3" x14ac:dyDescent="0.25">
      <c r="B46" s="71" t="s">
        <v>109</v>
      </c>
    </row>
    <row r="47" spans="1:3" hidden="1" x14ac:dyDescent="0.25">
      <c r="B47" s="71" t="s">
        <v>139</v>
      </c>
    </row>
    <row r="48" spans="1:3" hidden="1" x14ac:dyDescent="0.25">
      <c r="A48" s="71" t="s">
        <v>106</v>
      </c>
    </row>
    <row r="49" spans="1:3" hidden="1" x14ac:dyDescent="0.25">
      <c r="A49" s="71" t="s">
        <v>137</v>
      </c>
    </row>
    <row r="50" spans="1:3" hidden="1" x14ac:dyDescent="0.25">
      <c r="B50" s="71" t="s">
        <v>138</v>
      </c>
    </row>
    <row r="51" spans="1:3" hidden="1" x14ac:dyDescent="0.25">
      <c r="A51" s="71" t="s">
        <v>120</v>
      </c>
    </row>
    <row r="52" spans="1:3" hidden="1" x14ac:dyDescent="0.25">
      <c r="A52" s="71" t="s">
        <v>122</v>
      </c>
    </row>
    <row r="53" spans="1:3" hidden="1" x14ac:dyDescent="0.25">
      <c r="A53" s="71" t="s">
        <v>123</v>
      </c>
    </row>
    <row r="54" spans="1:3" ht="11.25" hidden="1" customHeight="1" x14ac:dyDescent="0.25"/>
    <row r="55" spans="1:3" ht="11.25" customHeight="1" x14ac:dyDescent="0.25"/>
    <row r="56" spans="1:3" ht="11.25" customHeight="1" x14ac:dyDescent="0.3">
      <c r="A56" s="189" t="s">
        <v>241</v>
      </c>
    </row>
    <row r="57" spans="1:3" ht="11.25" customHeight="1" x14ac:dyDescent="0.25">
      <c r="B57" s="71" t="s">
        <v>324</v>
      </c>
    </row>
    <row r="58" spans="1:3" ht="68.25" customHeight="1" x14ac:dyDescent="0.25">
      <c r="C58" s="260" t="s">
        <v>325</v>
      </c>
    </row>
    <row r="59" spans="1:3" ht="11.25" customHeight="1" x14ac:dyDescent="0.25"/>
    <row r="60" spans="1:3" ht="12" customHeight="1" x14ac:dyDescent="0.3">
      <c r="A60" s="189" t="s">
        <v>185</v>
      </c>
    </row>
    <row r="61" spans="1:3" ht="12" customHeight="1" x14ac:dyDescent="0.25">
      <c r="B61" s="71" t="s">
        <v>186</v>
      </c>
    </row>
    <row r="62" spans="1:3" ht="12" customHeight="1" x14ac:dyDescent="0.25">
      <c r="C62" s="71" t="s">
        <v>193</v>
      </c>
    </row>
    <row r="63" spans="1:3" ht="12" customHeight="1" x14ac:dyDescent="0.25">
      <c r="C63" s="71" t="s">
        <v>195</v>
      </c>
    </row>
    <row r="64" spans="1:3" ht="12" customHeight="1" x14ac:dyDescent="0.25">
      <c r="C64" s="71" t="s">
        <v>194</v>
      </c>
    </row>
    <row r="65" spans="1:3" ht="12" customHeight="1" x14ac:dyDescent="0.25">
      <c r="C65" s="71"/>
    </row>
    <row r="66" spans="1:3" ht="13" x14ac:dyDescent="0.3">
      <c r="A66" s="189" t="s">
        <v>108</v>
      </c>
    </row>
    <row r="67" spans="1:3" x14ac:dyDescent="0.25">
      <c r="B67" s="71" t="s">
        <v>245</v>
      </c>
    </row>
    <row r="68" spans="1:3" x14ac:dyDescent="0.25">
      <c r="B68" s="71"/>
      <c r="C68" s="71" t="s">
        <v>246</v>
      </c>
    </row>
    <row r="69" spans="1:3" x14ac:dyDescent="0.25">
      <c r="C69" s="71" t="s">
        <v>247</v>
      </c>
    </row>
    <row r="70" spans="1:3" ht="13" x14ac:dyDescent="0.3">
      <c r="B70" s="71" t="s">
        <v>248</v>
      </c>
    </row>
    <row r="71" spans="1:3" x14ac:dyDescent="0.25">
      <c r="B71" s="71" t="s">
        <v>249</v>
      </c>
    </row>
    <row r="72" spans="1:3" x14ac:dyDescent="0.25">
      <c r="B72" s="71" t="s">
        <v>250</v>
      </c>
    </row>
    <row r="73" spans="1:3" x14ac:dyDescent="0.25">
      <c r="B73" s="71" t="s">
        <v>278</v>
      </c>
    </row>
    <row r="74" spans="1:3" x14ac:dyDescent="0.25">
      <c r="B74" s="71"/>
      <c r="C74" s="71" t="s">
        <v>306</v>
      </c>
    </row>
    <row r="75" spans="1:3" x14ac:dyDescent="0.25">
      <c r="B75" s="71"/>
      <c r="C75" s="71" t="s">
        <v>307</v>
      </c>
    </row>
    <row r="76" spans="1:3" x14ac:dyDescent="0.25">
      <c r="B76" s="71"/>
      <c r="C76" s="71" t="s">
        <v>308</v>
      </c>
    </row>
    <row r="77" spans="1:3" x14ac:dyDescent="0.25">
      <c r="B77" s="71"/>
      <c r="C77" s="71" t="s">
        <v>309</v>
      </c>
    </row>
    <row r="78" spans="1:3" x14ac:dyDescent="0.25">
      <c r="B78" s="71"/>
      <c r="C78" s="71" t="s">
        <v>304</v>
      </c>
    </row>
    <row r="79" spans="1:3" x14ac:dyDescent="0.25">
      <c r="B79" s="71"/>
      <c r="C79" s="71" t="s">
        <v>280</v>
      </c>
    </row>
    <row r="80" spans="1:3" x14ac:dyDescent="0.25">
      <c r="B80" s="71"/>
      <c r="C80" s="71" t="s">
        <v>305</v>
      </c>
    </row>
    <row r="81" spans="1:3" x14ac:dyDescent="0.25">
      <c r="B81" s="71" t="s">
        <v>277</v>
      </c>
    </row>
    <row r="82" spans="1:3" x14ac:dyDescent="0.25">
      <c r="B82" s="71"/>
      <c r="C82" s="71" t="s">
        <v>263</v>
      </c>
    </row>
    <row r="83" spans="1:3" x14ac:dyDescent="0.25">
      <c r="B83" s="71"/>
      <c r="C83" s="71" t="s">
        <v>264</v>
      </c>
    </row>
    <row r="84" spans="1:3" x14ac:dyDescent="0.25">
      <c r="B84" s="71"/>
      <c r="C84" s="71" t="s">
        <v>265</v>
      </c>
    </row>
    <row r="85" spans="1:3" x14ac:dyDescent="0.25">
      <c r="B85" s="71"/>
      <c r="C85" s="71" t="s">
        <v>279</v>
      </c>
    </row>
    <row r="86" spans="1:3" x14ac:dyDescent="0.25">
      <c r="B86" s="71"/>
      <c r="C86" s="71" t="s">
        <v>281</v>
      </c>
    </row>
    <row r="87" spans="1:3" x14ac:dyDescent="0.25">
      <c r="B87" s="71"/>
      <c r="C87" s="71" t="s">
        <v>282</v>
      </c>
    </row>
    <row r="88" spans="1:3" x14ac:dyDescent="0.25">
      <c r="B88" s="71"/>
    </row>
    <row r="89" spans="1:3" ht="13" x14ac:dyDescent="0.3">
      <c r="A89" s="189" t="s">
        <v>259</v>
      </c>
    </row>
    <row r="90" spans="1:3" x14ac:dyDescent="0.25">
      <c r="B90" s="71" t="s">
        <v>107</v>
      </c>
    </row>
    <row r="91" spans="1:3" x14ac:dyDescent="0.25">
      <c r="B91" s="71" t="s">
        <v>116</v>
      </c>
    </row>
    <row r="92" spans="1:3" x14ac:dyDescent="0.25">
      <c r="B92" s="71"/>
      <c r="C92" t="s">
        <v>110</v>
      </c>
    </row>
    <row r="93" spans="1:3" x14ac:dyDescent="0.25">
      <c r="B93" s="71" t="s">
        <v>124</v>
      </c>
    </row>
    <row r="94" spans="1:3" x14ac:dyDescent="0.25">
      <c r="B94" s="71" t="s">
        <v>251</v>
      </c>
    </row>
    <row r="95" spans="1:3" x14ac:dyDescent="0.25">
      <c r="B95" s="71" t="s">
        <v>252</v>
      </c>
    </row>
    <row r="96" spans="1:3" x14ac:dyDescent="0.25">
      <c r="B96" s="71" t="s">
        <v>310</v>
      </c>
    </row>
    <row r="97" spans="1:3" x14ac:dyDescent="0.25">
      <c r="C97" s="71" t="s">
        <v>311</v>
      </c>
    </row>
    <row r="98" spans="1:3" x14ac:dyDescent="0.25">
      <c r="C98" s="71"/>
    </row>
    <row r="99" spans="1:3" ht="13" hidden="1" x14ac:dyDescent="0.3">
      <c r="A99" s="189" t="s">
        <v>260</v>
      </c>
    </row>
    <row r="100" spans="1:3" hidden="1" x14ac:dyDescent="0.25">
      <c r="B100" s="71" t="s">
        <v>283</v>
      </c>
    </row>
    <row r="101" spans="1:3" hidden="1" x14ac:dyDescent="0.25">
      <c r="C101" s="71" t="s">
        <v>284</v>
      </c>
    </row>
    <row r="102" spans="1:3" hidden="1" x14ac:dyDescent="0.25">
      <c r="B102" s="71" t="s">
        <v>227</v>
      </c>
    </row>
    <row r="103" spans="1:3" hidden="1" x14ac:dyDescent="0.25">
      <c r="B103" s="71" t="s">
        <v>228</v>
      </c>
    </row>
    <row r="104" spans="1:3" hidden="1" x14ac:dyDescent="0.25">
      <c r="B104" s="71" t="s">
        <v>226</v>
      </c>
    </row>
    <row r="105" spans="1:3" hidden="1" x14ac:dyDescent="0.25">
      <c r="B105" s="71" t="s">
        <v>253</v>
      </c>
    </row>
    <row r="106" spans="1:3" hidden="1" x14ac:dyDescent="0.25">
      <c r="B106" s="71" t="s">
        <v>299</v>
      </c>
    </row>
    <row r="107" spans="1:3" hidden="1" x14ac:dyDescent="0.25">
      <c r="B107" s="218" t="s">
        <v>242</v>
      </c>
    </row>
    <row r="108" spans="1:3" hidden="1" x14ac:dyDescent="0.25">
      <c r="C108" s="71" t="s">
        <v>300</v>
      </c>
    </row>
    <row r="109" spans="1:3" hidden="1" x14ac:dyDescent="0.25">
      <c r="B109" s="71" t="s">
        <v>254</v>
      </c>
    </row>
    <row r="110" spans="1:3" hidden="1" x14ac:dyDescent="0.25">
      <c r="B110" s="71" t="s">
        <v>255</v>
      </c>
    </row>
    <row r="112" spans="1:3" ht="13" x14ac:dyDescent="0.3">
      <c r="A112" s="189" t="s">
        <v>287</v>
      </c>
    </row>
    <row r="113" spans="2:3" x14ac:dyDescent="0.25">
      <c r="B113" s="71" t="s">
        <v>288</v>
      </c>
    </row>
    <row r="114" spans="2:3" x14ac:dyDescent="0.25">
      <c r="C114" s="71" t="s">
        <v>289</v>
      </c>
    </row>
    <row r="115" spans="2:3" x14ac:dyDescent="0.25">
      <c r="B115" s="71" t="s">
        <v>312</v>
      </c>
      <c r="C115" s="71"/>
    </row>
    <row r="116" spans="2:3" ht="14.5" x14ac:dyDescent="0.35">
      <c r="B116" s="246" t="s">
        <v>290</v>
      </c>
    </row>
    <row r="117" spans="2:3" x14ac:dyDescent="0.25">
      <c r="C117" s="71" t="s">
        <v>291</v>
      </c>
    </row>
    <row r="118" spans="2:3" x14ac:dyDescent="0.25">
      <c r="C118" s="71" t="s">
        <v>298</v>
      </c>
    </row>
    <row r="119" spans="2:3" x14ac:dyDescent="0.25">
      <c r="C119" s="71" t="s">
        <v>297</v>
      </c>
    </row>
    <row r="120" spans="2:3" x14ac:dyDescent="0.25">
      <c r="C120" s="71" t="s">
        <v>292</v>
      </c>
    </row>
    <row r="121" spans="2:3" x14ac:dyDescent="0.25">
      <c r="C121" t="s">
        <v>293</v>
      </c>
    </row>
    <row r="122" spans="2:3" ht="14.5" x14ac:dyDescent="0.35">
      <c r="B122" s="246" t="s">
        <v>294</v>
      </c>
    </row>
    <row r="123" spans="2:3" x14ac:dyDescent="0.25">
      <c r="C123" s="71" t="s">
        <v>295</v>
      </c>
    </row>
    <row r="124" spans="2:3" x14ac:dyDescent="0.25">
      <c r="C124" t="s">
        <v>296</v>
      </c>
    </row>
    <row r="125" spans="2:3" x14ac:dyDescent="0.25">
      <c r="C125" s="71" t="s">
        <v>313</v>
      </c>
    </row>
    <row r="126" spans="2:3" x14ac:dyDescent="0.25">
      <c r="C126" s="71" t="s">
        <v>314</v>
      </c>
    </row>
    <row r="127" spans="2:3" x14ac:dyDescent="0.25">
      <c r="C127" s="71" t="s">
        <v>315</v>
      </c>
    </row>
    <row r="129" spans="3:3" x14ac:dyDescent="0.25">
      <c r="C129" s="259" t="s">
        <v>320</v>
      </c>
    </row>
    <row r="130" spans="3:3" x14ac:dyDescent="0.25">
      <c r="C130" s="259" t="s">
        <v>327</v>
      </c>
    </row>
  </sheetData>
  <sheetProtection sheet="1" objects="1" scenarios="1"/>
  <pageMargins left="0.5" right="0.5" top="0.5" bottom="0.5" header="0.3" footer="0.3"/>
  <pageSetup scale="96" orientation="portrait" r:id="rId1"/>
  <headerFooter>
    <oddHeader>&amp;LEligibility Worksheet 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N82"/>
  <sheetViews>
    <sheetView zoomScaleNormal="100" workbookViewId="0">
      <selection sqref="A1:D1"/>
    </sheetView>
  </sheetViews>
  <sheetFormatPr defaultColWidth="9.1796875" defaultRowHeight="12.5" x14ac:dyDescent="0.25"/>
  <cols>
    <col min="1" max="1" width="23.54296875" style="1" customWidth="1"/>
    <col min="2" max="2" width="5.81640625" style="1" customWidth="1"/>
    <col min="3" max="3" width="1.26953125" style="1" customWidth="1"/>
    <col min="4" max="4" width="6.81640625" style="1" customWidth="1"/>
    <col min="5" max="5" width="2.1796875" style="1" customWidth="1"/>
    <col min="6" max="6" width="9.1796875" style="1" customWidth="1"/>
    <col min="7" max="7" width="1.26953125" style="1" customWidth="1"/>
    <col min="8" max="8" width="11.1796875" style="1" customWidth="1"/>
    <col min="9" max="9" width="8.81640625" style="1" customWidth="1"/>
    <col min="10" max="10" width="1.453125" style="1" customWidth="1"/>
    <col min="11" max="11" width="7.26953125" style="1" customWidth="1"/>
    <col min="12" max="12" width="1.7265625" style="1" customWidth="1"/>
    <col min="13" max="13" width="8.54296875" style="1" customWidth="1"/>
    <col min="14" max="14" width="1.7265625" style="1" customWidth="1"/>
    <col min="15" max="15" width="9.453125" style="1" customWidth="1"/>
    <col min="16" max="16" width="8.81640625" style="1" customWidth="1"/>
    <col min="17" max="17" width="2.26953125" style="1" customWidth="1"/>
    <col min="18" max="18" width="12" style="1" customWidth="1"/>
    <col min="19" max="19" width="9.453125" style="1" customWidth="1"/>
    <col min="20" max="20" width="1.81640625" style="1" customWidth="1"/>
    <col min="21" max="21" width="9.453125" style="1" customWidth="1"/>
    <col min="22" max="22" width="3.1796875" style="1" customWidth="1"/>
    <col min="23" max="23" width="10.453125" style="1" customWidth="1"/>
    <col min="24" max="26" width="12.7265625" style="1" customWidth="1"/>
    <col min="27" max="27" width="10.453125" style="1" customWidth="1"/>
    <col min="28" max="28" width="16.1796875" style="1" customWidth="1"/>
    <col min="29" max="29" width="12.7265625" style="1" customWidth="1"/>
    <col min="30" max="30" width="12.7265625" style="1" hidden="1" customWidth="1"/>
    <col min="31" max="32" width="9.1796875" style="1" hidden="1" customWidth="1"/>
    <col min="33" max="33" width="11.81640625" style="1" hidden="1" customWidth="1"/>
    <col min="34" max="34" width="15.7265625" style="1" hidden="1" customWidth="1"/>
    <col min="35" max="35" width="13.54296875" style="1" hidden="1" customWidth="1"/>
    <col min="36" max="36" width="6.81640625" style="1" hidden="1" customWidth="1"/>
    <col min="37" max="37" width="12.7265625" style="1" hidden="1" customWidth="1"/>
    <col min="38" max="39" width="9.1796875" style="1" hidden="1" customWidth="1"/>
    <col min="40" max="40" width="13.81640625" style="1" hidden="1" customWidth="1"/>
    <col min="41" max="41" width="9.1796875" style="1" customWidth="1"/>
    <col min="42" max="16384" width="9.1796875" style="1"/>
  </cols>
  <sheetData>
    <row r="1" spans="1:39" ht="31.5" customHeight="1" thickBot="1" x14ac:dyDescent="0.3">
      <c r="A1" s="316"/>
      <c r="B1" s="317"/>
      <c r="C1" s="317"/>
      <c r="D1" s="317"/>
      <c r="H1" s="318"/>
      <c r="I1" s="319"/>
      <c r="J1" s="319"/>
      <c r="K1" s="319"/>
      <c r="O1" s="316"/>
      <c r="P1" s="327"/>
      <c r="R1" s="262"/>
      <c r="S1" s="375">
        <f ca="1">TODAY()</f>
        <v>45692</v>
      </c>
      <c r="T1" s="376"/>
      <c r="U1" s="376"/>
      <c r="AE1" s="6" t="s">
        <v>26</v>
      </c>
      <c r="AF1" s="1" t="str">
        <f>IF(AG1="Cat 6","ADAP and MCM ONLY",AG1)</f>
        <v>&gt;400%, MCM ONLY</v>
      </c>
      <c r="AG1" s="1" t="str">
        <f>IF(AND(AI1=FALSE,AI2=FALSE),"&gt;400%, MCM ONLY",IF(AND(OR(NOT(AI2="Cat 6"),NOT(AI2=FALSE)),AI1=FALSE),AI2,IF(AND(OR(NOT(AI1="Cat 6"),NOT(AI1=FALSE)),AI2=FALSE),AI1,IF(OR(AI1="Cat 6",AI2="Cat 6"),"ADAP and MCM ONLY"))))</f>
        <v>&gt;400%, MCM ONLY</v>
      </c>
      <c r="AH1" s="13" t="s">
        <v>4</v>
      </c>
      <c r="AI1" s="1" t="b">
        <f>IF(NOT(AL2=FALSE()),AL2,IF(NOT(AL7=FALSE()),AL7,IF(NOT(AL8=FALSE()),AL8,IF(NOT(AL9=FALSE()),AL9,IF(NOT(AL10=FALSE()),AL10,IF(NOT(AL11=FALSE()),AL11,AL12))))))</f>
        <v>0</v>
      </c>
      <c r="AK1" s="1" t="s">
        <v>0</v>
      </c>
      <c r="AL1" s="1" t="s">
        <v>2</v>
      </c>
      <c r="AM1" s="1" t="s">
        <v>3</v>
      </c>
    </row>
    <row r="2" spans="1:39" ht="13" thickTop="1" x14ac:dyDescent="0.25">
      <c r="A2" s="320" t="s">
        <v>16</v>
      </c>
      <c r="B2" s="320"/>
      <c r="C2" s="320"/>
      <c r="D2" s="320"/>
      <c r="H2" s="320" t="s">
        <v>17</v>
      </c>
      <c r="I2" s="320"/>
      <c r="J2" s="320"/>
      <c r="K2" s="320"/>
      <c r="O2" s="205" t="s">
        <v>224</v>
      </c>
      <c r="P2" s="15"/>
      <c r="R2" s="188" t="s">
        <v>321</v>
      </c>
      <c r="S2" s="320" t="s">
        <v>18</v>
      </c>
      <c r="T2" s="377"/>
      <c r="U2" s="377"/>
      <c r="AH2" s="4" t="s">
        <v>5</v>
      </c>
      <c r="AI2" s="1" t="b">
        <f>IF(NOT(AL13=FALSE()),AL13,IF(R9&gt;8,AL14,FALSE()))</f>
        <v>0</v>
      </c>
      <c r="AK2" s="1">
        <v>1</v>
      </c>
      <c r="AL2" s="2" t="b">
        <f>IF(AND(R9=1,B28&lt;=D67),"Cat "&amp;B65,IF(AND(R9=1,B28&lt;=H67),"Cat "&amp;F65,IF(AND(R9=1,B28&lt;=K67),"Cat "&amp;I65,IF(AND(R9=1,B28&lt;=O67),"Cat "&amp;M65,IF(AND(R9=1,B28&lt;=R67),"Cat "&amp;P65,IF(AND(R9=1,B28&lt;=U67),"Cat "&amp;S65))))))</f>
        <v>0</v>
      </c>
      <c r="AM2" s="1" t="b">
        <f>IF(AND(R9=1,B53&lt;=D67),"Cat "&amp;B65,IF(AND(R9=1,B53&lt;=H67),"Cat "&amp;F65,IF(AND(R9=1,B53&lt;=K67),"Cat "&amp;I65,IF(AND(R9=1,B53&lt;=O67),"Cat "&amp;M65,IF(AND(R9=1,B53&lt;=R67),"Cat "&amp;P65,IF(AND(R9=1,B53&lt;=U67),"Cat "&amp;S65))))))</f>
        <v>0</v>
      </c>
    </row>
    <row r="3" spans="1:39" x14ac:dyDescent="0.25">
      <c r="A3" s="10"/>
      <c r="B3" s="10"/>
      <c r="C3" s="10"/>
      <c r="D3" s="10"/>
      <c r="H3" s="10"/>
      <c r="I3" s="10"/>
      <c r="J3" s="10"/>
      <c r="K3" s="10"/>
      <c r="O3" s="188"/>
      <c r="R3" s="188"/>
      <c r="S3" s="10"/>
      <c r="T3"/>
      <c r="U3"/>
      <c r="AH3" s="4"/>
      <c r="AL3" s="2"/>
    </row>
    <row r="4" spans="1:39" ht="17.25" customHeight="1" thickBot="1" x14ac:dyDescent="0.3">
      <c r="A4" s="10"/>
      <c r="B4" s="10"/>
      <c r="C4" s="10"/>
      <c r="D4" s="10"/>
      <c r="H4" s="10"/>
      <c r="I4" s="10"/>
      <c r="J4" s="10"/>
      <c r="K4" s="10"/>
      <c r="O4" s="265"/>
      <c r="P4" s="266"/>
      <c r="R4" s="188"/>
      <c r="S4" s="10"/>
      <c r="T4"/>
      <c r="U4"/>
      <c r="AH4" s="4"/>
      <c r="AL4" s="2"/>
    </row>
    <row r="5" spans="1:39" ht="13" thickTop="1" x14ac:dyDescent="0.25">
      <c r="A5" s="10"/>
      <c r="B5" s="10"/>
      <c r="C5" s="10"/>
      <c r="D5" s="10"/>
      <c r="H5" s="10"/>
      <c r="I5" s="10"/>
      <c r="J5" s="10"/>
      <c r="K5" s="10"/>
      <c r="O5" s="188" t="s">
        <v>323</v>
      </c>
      <c r="R5" s="188"/>
      <c r="S5" s="10"/>
      <c r="T5"/>
      <c r="U5"/>
      <c r="AH5" s="4"/>
      <c r="AL5" s="2"/>
    </row>
    <row r="6" spans="1:39" x14ac:dyDescent="0.25">
      <c r="A6" s="10"/>
      <c r="B6" s="10"/>
      <c r="C6" s="10"/>
      <c r="D6" s="10"/>
      <c r="H6" s="10"/>
      <c r="I6" s="10"/>
      <c r="J6" s="10"/>
      <c r="K6" s="10"/>
      <c r="O6" s="188"/>
      <c r="R6" s="188"/>
      <c r="S6" s="10"/>
      <c r="T6"/>
      <c r="U6"/>
      <c r="AH6" s="4"/>
      <c r="AL6" s="2"/>
    </row>
    <row r="7" spans="1:39" ht="5.25" customHeight="1" thickBot="1" x14ac:dyDescent="0.3">
      <c r="A7" s="10"/>
      <c r="B7" s="10"/>
      <c r="C7" s="10"/>
      <c r="D7" s="41"/>
      <c r="H7" s="10"/>
      <c r="I7" s="10"/>
      <c r="J7" s="10"/>
      <c r="K7" s="41"/>
      <c r="R7" s="10"/>
      <c r="S7" s="10"/>
      <c r="T7" s="10"/>
      <c r="AH7" s="4"/>
      <c r="AK7" s="1">
        <v>2</v>
      </c>
      <c r="AL7" s="10" t="b">
        <f>IF(AND(R9=2,B28&lt;=D68),"Cat "&amp;B65,IF(AND(R9=2,B28&lt;=H68),"Cat "&amp;F65,IF(AND(R9=2,B28&lt;=K68),"Cat "&amp;I65,IF(AND(R9=2,B28&lt;=O68),"Cat "&amp;M65,IF(AND(R9=2,B28&lt;=R68),"Cat "&amp;P65,IF(AND(R9=2,B28&lt;=U68),"Cat "&amp;S65))))))</f>
        <v>0</v>
      </c>
      <c r="AM7" s="1" t="b">
        <f>IF(AND(R9=2,B53&lt;=D68),"Cat "&amp;B65,IF(AND(R9=2,B53&lt;=H68),"Cat "&amp;F65,IF(AND(R9=2,B53&lt;=K68),"Cat "&amp;I65,IF(AND(R9=2,B53&lt;=O68),"Cat "&amp;M65,IF(AND(R9=2,B53&lt;=R68),"Cat "&amp;P65,IF(AND(R9=2,B53&lt;=U68),"Cat "&amp;S65))))))</f>
        <v>0</v>
      </c>
    </row>
    <row r="8" spans="1:39" ht="6.75" customHeight="1" thickTop="1" x14ac:dyDescent="0.25">
      <c r="A8" s="14"/>
      <c r="B8" s="55"/>
      <c r="C8" s="55"/>
      <c r="D8" s="15"/>
      <c r="E8" s="15"/>
      <c r="F8" s="15"/>
      <c r="G8" s="15"/>
      <c r="H8" s="15"/>
      <c r="I8" s="15"/>
      <c r="J8" s="15"/>
      <c r="K8" s="15"/>
      <c r="L8" s="15"/>
      <c r="M8" s="15"/>
      <c r="N8" s="15"/>
      <c r="O8" s="28"/>
      <c r="P8" s="28"/>
      <c r="Q8" s="28"/>
      <c r="R8" s="15"/>
      <c r="S8" s="15"/>
      <c r="T8" s="15"/>
      <c r="U8" s="33"/>
      <c r="AE8" s="6" t="s">
        <v>20</v>
      </c>
      <c r="AF8" s="1" t="str">
        <f>IF(AG8="Cat 6","ADAP and MCM ONLY",AG8)</f>
        <v>INCOME EXCEEDED</v>
      </c>
      <c r="AG8" s="1" t="str">
        <f>IF(AND(AI8=FALSE,AI9=FALSE),"INCOME EXCEEDED",IF(AI8=FALSE,AI9,AI8))</f>
        <v>INCOME EXCEEDED</v>
      </c>
      <c r="AH8" s="4" t="s">
        <v>4</v>
      </c>
      <c r="AI8" s="1" t="b">
        <f>IF(NOT(AM2=FALSE()),AM2,IF(NOT(AM7=FALSE()),AM7,IF(NOT(AM8=FALSE()),AM8,IF(NOT(AM9=FALSE()),AM9,IF(NOT(AM10=FALSE()),AM10,IF(NOT(AM11=FALSE()),AM11,AM12))))))</f>
        <v>0</v>
      </c>
      <c r="AK8" s="1">
        <v>3</v>
      </c>
      <c r="AL8" s="2" t="b">
        <f>IF(AND(R9=3,B28&lt;=D69),"Cat "&amp;B65,IF(AND(R9=3,B28&lt;=H69),"Cat "&amp;F65,IF(AND(R9=3,B28&lt;=K69),"Cat "&amp;I65,IF(AND(R9=3,B28&lt;=O69),"Cat "&amp;M65,IF(AND(R9=3,B28&lt;=R69),"Cat "&amp;P65,IF(AND(R9=3,B28&lt;=U69),"Cat "&amp;S65))))))</f>
        <v>0</v>
      </c>
      <c r="AM8" s="3" t="b">
        <f>IF(AND(R9=3,B53&lt;=D69),"Cat "&amp;B65,IF(AND(R9=3,B53&lt;=H69),"Cat "&amp;F65,IF(AND(R9=3,B53&lt;=K69),"Cat "&amp;I65,IF(AND(R9=3,B53&lt;=O69),"Cat "&amp;M65,IF(AND(R9=3,B53&lt;=R69),"Cat "&amp;P65,IF(AND(R9=3,B53&lt;=U69),"Cat "&amp;S65))))))</f>
        <v>0</v>
      </c>
    </row>
    <row r="9" spans="1:39" ht="25" x14ac:dyDescent="0.25">
      <c r="A9" s="34" t="s">
        <v>126</v>
      </c>
      <c r="B9" s="56"/>
      <c r="C9" s="56"/>
      <c r="D9" s="11"/>
      <c r="O9" s="378" t="s">
        <v>21</v>
      </c>
      <c r="P9" s="379"/>
      <c r="Q9" s="369"/>
      <c r="R9" s="95"/>
      <c r="S9" s="11"/>
      <c r="T9" s="11"/>
      <c r="U9" s="18"/>
      <c r="AH9" s="4" t="s">
        <v>5</v>
      </c>
      <c r="AI9" s="1" t="b">
        <f>IF(NOT(AM13=FALSE()),AM13,IF(R9&gt;8,AM14,FALSE()))</f>
        <v>0</v>
      </c>
      <c r="AK9" s="1">
        <v>4</v>
      </c>
      <c r="AL9" s="2" t="b">
        <f>IF(AND(R9=4,B28&lt;=D70),"Cat "&amp;B65,IF(AND(R9=4,B28&lt;=H70),"Cat "&amp;F65,IF(AND(R9=4,B28&lt;=K70),"Cat "&amp;I65,IF(AND(R9=4,B28&lt;=O70),"Cat "&amp;M65,IF(AND(R9=4,B28&lt;=R70),"Cat "&amp;P65,IF(AND(R9=4,B28&lt;=U70),"Cat "&amp;S65))))))</f>
        <v>0</v>
      </c>
      <c r="AM9" s="2" t="b">
        <f>IF(AND(R9=4,B53&lt;=D70),"Cat "&amp;B65,IF(AND(R9=4,B53&lt;=H70),"Cat "&amp;F65,IF(AND(R9=4,B53&lt;=K70),"Cat "&amp;I65,IF(AND(R9=4,B53&lt;=O70),"Cat "&amp;M65,IF(AND(R9=4,B53&lt;=R70),"Cat "&amp;P65,IF(AND(R9=4,B53&lt;=U70),"Cat "&amp;S65))))))</f>
        <v>0</v>
      </c>
    </row>
    <row r="10" spans="1:39" ht="5.25" customHeight="1" thickBot="1" x14ac:dyDescent="0.3">
      <c r="A10" s="29"/>
      <c r="B10" s="7"/>
      <c r="C10" s="7"/>
      <c r="D10" s="11"/>
      <c r="S10" s="12"/>
      <c r="T10" s="12"/>
      <c r="U10" s="60"/>
      <c r="AE10" s="6" t="s">
        <v>33</v>
      </c>
      <c r="AF10" s="6"/>
      <c r="AG10" s="6" t="str">
        <f>IF(OR(AF1="ADAP and MCM ONLY",AF1="INCOME EXCEEDED"),"N/A",IF(OR(AF1="Cat 1",AF1="Cat 2",AF1="Cat 3",AF1="Cat 4",AF1="Cat 5"),AF1,"N/A"))</f>
        <v>N/A</v>
      </c>
      <c r="AK10" s="1">
        <v>5</v>
      </c>
      <c r="AL10" s="2" t="b">
        <f>IF(AND(R9=5,B28&lt;=D71),"Cat "&amp;B65,IF(AND(R9=5,B28&lt;=H71),"Cat "&amp;F65,IF(AND(R9=5,B28&lt;=K71),"Cat "&amp;I65,IF(AND(R9=5,B28&lt;=O71),"Cat "&amp;M65,IF(AND(R9=5,B28&lt;=R71),"Cat "&amp;P65,IF(AND(R9=5,B28&lt;=U71),"Cat "&amp;S65))))))</f>
        <v>0</v>
      </c>
      <c r="AM10" s="2" t="b">
        <f>IF(AND(R9=5,B53&lt;=D71),"Cat "&amp;B65,IF(AND(R9=5,B53&lt;=H71),"Cat "&amp;F65,IF(AND(R9=5,B53&lt;=K71),"Cat "&amp;I65,IF(AND(R9=5,B53&lt;=O71),"Cat "&amp;M65,IF(AND(R9=5,B53&lt;=R71),"Cat "&amp;P65,IF(AND(R9=5,B53&lt;=U71),"Cat "&amp;S65))))))</f>
        <v>0</v>
      </c>
    </row>
    <row r="11" spans="1:39" ht="27" customHeight="1" thickBot="1" x14ac:dyDescent="0.3">
      <c r="A11" s="30" t="s">
        <v>19</v>
      </c>
      <c r="B11" s="322" t="s">
        <v>20</v>
      </c>
      <c r="C11" s="323"/>
      <c r="D11" s="323"/>
      <c r="E11" s="323"/>
      <c r="F11" s="325" t="s">
        <v>206</v>
      </c>
      <c r="G11" s="323"/>
      <c r="H11" s="323"/>
      <c r="I11" s="325" t="s">
        <v>207</v>
      </c>
      <c r="J11" s="323"/>
      <c r="K11" s="323"/>
      <c r="L11" s="323"/>
      <c r="M11" s="325" t="s">
        <v>208</v>
      </c>
      <c r="N11" s="323"/>
      <c r="O11" s="323"/>
      <c r="P11" s="325" t="s">
        <v>209</v>
      </c>
      <c r="Q11" s="323"/>
      <c r="R11" s="323"/>
      <c r="S11" s="370" t="s">
        <v>210</v>
      </c>
      <c r="T11" s="324"/>
      <c r="U11" s="371"/>
      <c r="AH11" s="1" t="s">
        <v>6</v>
      </c>
      <c r="AI11" s="2" t="b">
        <f>IF(B28&lt;B26,"ERROR",IF(AI8=FALSE(),AI9,AI8))</f>
        <v>0</v>
      </c>
      <c r="AK11" s="1">
        <v>6</v>
      </c>
      <c r="AL11" s="2" t="b">
        <f>IF(AND(R9=6,B28&lt;=D72),"Cat "&amp;B65,IF(AND(R9=6,B28&lt;=H72),"Cat "&amp;F65,IF(AND(R9=6,B28&lt;=K72),"Cat "&amp;I65,IF(AND(R9=6,B28&lt;=O72),"Cat "&amp;M65,IF(AND(R9=6,B28&lt;=R72),"Cat "&amp;P65,IF(AND(R9=6,B28&lt;=U72),"Cat "&amp;S65))))))</f>
        <v>0</v>
      </c>
      <c r="AM11" s="2" t="b">
        <f>IF(AND(R9=6,B53&lt;=D72),"Cat "&amp;B65,IF(AND(R9=6,B53&lt;=H72),"Cat "&amp;F65,IF(AND(R9=6,B53&lt;=K72),"Cat "&amp;I65,IF(AND(R9=6,B53&lt;=O72),"Cat "&amp;M65,IF(AND(R9=6,B53&lt;=R72),"Cat "&amp;P65,IF(AND(R9=6,B53&lt;=U72),"Cat "&amp;S65))))))</f>
        <v>0</v>
      </c>
    </row>
    <row r="12" spans="1:39" ht="15.75" customHeight="1" x14ac:dyDescent="0.25">
      <c r="A12" s="37"/>
      <c r="B12" s="324"/>
      <c r="C12" s="324"/>
      <c r="D12" s="324"/>
      <c r="E12" s="324"/>
      <c r="F12" s="324"/>
      <c r="G12" s="324"/>
      <c r="H12" s="324"/>
      <c r="I12" s="324"/>
      <c r="J12" s="324"/>
      <c r="K12" s="324"/>
      <c r="L12" s="324"/>
      <c r="M12" s="324"/>
      <c r="N12" s="324"/>
      <c r="O12" s="324"/>
      <c r="P12" s="324"/>
      <c r="Q12" s="324"/>
      <c r="R12" s="324"/>
      <c r="S12" s="372" t="s">
        <v>42</v>
      </c>
      <c r="T12" s="373"/>
      <c r="U12" s="374"/>
      <c r="AE12" s="6" t="s">
        <v>34</v>
      </c>
      <c r="AF12" s="6"/>
      <c r="AG12" s="1" t="str">
        <f>IF(AG10="N/A","N/A",IF(AI11="Cat 1",B26*B61,IF(AI11="Cat 2",B26*F61,IF(AI11="Cat 3",B26*I61,IF(AI11="Cat 4",B26*M61,IF(AI11="Cat 5",B26*P61,IF(AG10="N/A","N/A","N/A")))))))</f>
        <v>N/A</v>
      </c>
      <c r="AH12" s="6" t="s">
        <v>12</v>
      </c>
      <c r="AI12" s="8">
        <f>IF(B59="Cat 1",B61,IF(B59="Cat 2",F61,IF(B59="Cat 3",I61,IF(B59="Cat 4",M61,IF(B59="Cat 5",P61,IF(B59="Cat 6",S61,0))))))</f>
        <v>0</v>
      </c>
      <c r="AK12" s="1">
        <v>7</v>
      </c>
      <c r="AL12" s="2" t="b">
        <f>IF(AND(R9=7,B28&lt;=D73),"Cat "&amp;B65,IF(AND(R9=7,B28&lt;=H73),"Cat "&amp;F65,IF(AND(R9=7,B28&lt;=K73),"Cat "&amp;I65,IF(AND(R9=7,B28&lt;=O73),"Cat "&amp;M65,IF(AND(R9=7,B28&lt;=R73),"Cat "&amp;P65,IF(AND(R9=7,B28&lt;=U73),"Cat "&amp;S65))))))</f>
        <v>0</v>
      </c>
      <c r="AM12" s="2" t="b">
        <f>IF(AND(R9=7,B53&lt;=D73),"Cat "&amp;B65,IF(AND(R9=7,B53&lt;=H73),"Cat "&amp;F65,IF(AND(R9=7,B53&lt;=K73),"Cat "&amp;I65,IF(AND(R9=7,B53&lt;=O73),"Cat "&amp;M65,IF(AND(R9=7,B53&lt;=R73),"Cat "&amp;P65,IF(AND(R9=7,B53&lt;=U73),"Cat "&amp;S65))))))</f>
        <v>0</v>
      </c>
    </row>
    <row r="13" spans="1:39" x14ac:dyDescent="0.25">
      <c r="A13" s="37" t="s">
        <v>27</v>
      </c>
      <c r="B13" s="308"/>
      <c r="C13" s="309"/>
      <c r="D13" s="309"/>
      <c r="E13" s="309"/>
      <c r="F13" s="309"/>
      <c r="G13" s="309"/>
      <c r="H13" s="309"/>
      <c r="I13" s="309"/>
      <c r="J13" s="309"/>
      <c r="K13" s="309"/>
      <c r="L13" s="309"/>
      <c r="M13" s="309"/>
      <c r="N13" s="309"/>
      <c r="O13" s="309"/>
      <c r="P13" s="309"/>
      <c r="Q13" s="309"/>
      <c r="R13" s="309"/>
      <c r="S13" s="309"/>
      <c r="T13" s="309"/>
      <c r="U13" s="367"/>
      <c r="AK13" s="1">
        <v>8</v>
      </c>
      <c r="AL13" s="2" t="b">
        <f>IF(AND(R9=8,B28&lt;=D74),"Cat "&amp;B65,IF(AND(R9=8,B28&lt;=H74),"Cat "&amp;F65,IF(AND(R9=8,B28&lt;=K74),"Cat "&amp;I65,IF(AND(R9=8,B28&lt;=O74),"Cat "&amp;M65,IF(AND(R9=8,B28&lt;=R74),"Cat "&amp;P65,IF(AND(R9=8,B28&lt;=U74),"Cat "&amp;S65))))))</f>
        <v>0</v>
      </c>
      <c r="AM13" s="2" t="b">
        <f>IF(AND(R9=8,B53&lt;=D74),"Cat "&amp;B65,IF(AND(R9=8,B53&lt;=H74),"Cat "&amp;F65,IF(AND(R9=8,B53&lt;=K74),"Cat "&amp;I65,IF(AND(R9=8,B53&lt;=O74),"Cat "&amp;M65,IF(AND(R9=8,B53&lt;=R74),"Cat "&amp;P65,IF(AND(R9=8,B53&lt;=U74),"Cat "&amp;S65))))))</f>
        <v>0</v>
      </c>
    </row>
    <row r="14" spans="1:39" ht="25.5" x14ac:dyDescent="0.3">
      <c r="A14" s="195" t="s">
        <v>203</v>
      </c>
      <c r="B14" s="326"/>
      <c r="C14" s="313"/>
      <c r="D14" s="313"/>
      <c r="E14" s="314"/>
      <c r="F14" s="312"/>
      <c r="G14" s="313"/>
      <c r="H14" s="314"/>
      <c r="I14" s="312"/>
      <c r="J14" s="313"/>
      <c r="K14" s="313"/>
      <c r="L14" s="314"/>
      <c r="M14" s="312"/>
      <c r="N14" s="313"/>
      <c r="O14" s="314"/>
      <c r="P14" s="312"/>
      <c r="Q14" s="313"/>
      <c r="R14" s="314"/>
      <c r="S14" s="312"/>
      <c r="T14" s="313"/>
      <c r="U14" s="315"/>
      <c r="AE14" s="6"/>
      <c r="AF14" s="6"/>
      <c r="AG14" s="40"/>
      <c r="AK14" s="5" t="s">
        <v>1</v>
      </c>
      <c r="AL14" s="1" t="b">
        <f>IF(AND(R9&gt;8,B28&lt;=D76),"Cat "&amp;B65,IF(AND(R9&gt;8,B28&lt;=H76),"Cat "&amp;F65,IF(AND(R9&gt;8,B28&lt;=K76),"Cat "&amp;I65,IF(AND(R9&gt;8,B28&lt;=O76),"Cat "&amp;M65,IF(AND(R9&gt;8,B28&lt;=R76),"Cat "&amp;P65,IF(AND(R9&gt;8,B28&lt;=U76),"Cat "&amp;S65,IF(AND(R9&gt;8,B28&lt;=U76),"Cat "&amp;S65)))))))</f>
        <v>0</v>
      </c>
      <c r="AM14" s="2" t="b">
        <f>IF(AND(R9&gt;8,B53&lt;=D76),"Cat "&amp;B65,IF(AND(R9&gt;8,B53&lt;=H76),"Cat "&amp;F65,IF(AND(R9&gt;8,B53&lt;=K76),"Cat "&amp;I65,IF(AND(R9&gt;8,B53&lt;=O76),"Cat "&amp;M65,IF(AND(R9&gt;8,B53&lt;=R76),"Cat "&amp;P65,IF(AND(R9&gt;8,B53&lt;=U76),"Cat "&amp;S65))))))</f>
        <v>0</v>
      </c>
    </row>
    <row r="15" spans="1:39" ht="25" x14ac:dyDescent="0.25">
      <c r="A15" s="241" t="s">
        <v>275</v>
      </c>
      <c r="B15" s="308"/>
      <c r="C15" s="309"/>
      <c r="D15" s="309"/>
      <c r="E15" s="309"/>
      <c r="F15" s="309"/>
      <c r="G15" s="309"/>
      <c r="H15" s="309"/>
      <c r="I15" s="309"/>
      <c r="J15" s="309"/>
      <c r="K15" s="309"/>
      <c r="L15" s="309"/>
      <c r="M15" s="309"/>
      <c r="N15" s="309"/>
      <c r="O15" s="309"/>
      <c r="P15" s="309"/>
      <c r="Q15" s="309"/>
      <c r="R15" s="309"/>
      <c r="S15" s="309"/>
      <c r="T15" s="309"/>
      <c r="U15" s="367"/>
      <c r="AE15" s="39"/>
    </row>
    <row r="16" spans="1:39" x14ac:dyDescent="0.25">
      <c r="A16" s="37" t="s">
        <v>13</v>
      </c>
      <c r="B16" s="308"/>
      <c r="C16" s="309"/>
      <c r="D16" s="309"/>
      <c r="E16" s="309"/>
      <c r="F16" s="309"/>
      <c r="G16" s="309"/>
      <c r="H16" s="309"/>
      <c r="I16" s="309"/>
      <c r="J16" s="309"/>
      <c r="K16" s="309"/>
      <c r="L16" s="309"/>
      <c r="M16" s="309"/>
      <c r="N16" s="309"/>
      <c r="O16" s="309"/>
      <c r="P16" s="309"/>
      <c r="Q16" s="309"/>
      <c r="R16" s="309"/>
      <c r="S16" s="309"/>
      <c r="T16" s="309"/>
      <c r="U16" s="367"/>
    </row>
    <row r="17" spans="1:29" x14ac:dyDescent="0.25">
      <c r="A17" s="37" t="s">
        <v>28</v>
      </c>
      <c r="B17" s="308"/>
      <c r="C17" s="309"/>
      <c r="D17" s="309"/>
      <c r="E17" s="309"/>
      <c r="F17" s="309"/>
      <c r="G17" s="309"/>
      <c r="H17" s="309"/>
      <c r="I17" s="309"/>
      <c r="J17" s="309"/>
      <c r="K17" s="309"/>
      <c r="L17" s="309"/>
      <c r="M17" s="309"/>
      <c r="N17" s="309"/>
      <c r="O17" s="309"/>
      <c r="P17" s="309"/>
      <c r="Q17" s="309"/>
      <c r="R17" s="309"/>
      <c r="S17" s="309"/>
      <c r="T17" s="309"/>
      <c r="U17" s="367"/>
      <c r="AC17" s="6"/>
    </row>
    <row r="18" spans="1:29" ht="28.5" customHeight="1" x14ac:dyDescent="0.25">
      <c r="A18" s="38" t="s">
        <v>29</v>
      </c>
      <c r="B18" s="308"/>
      <c r="C18" s="309"/>
      <c r="D18" s="309"/>
      <c r="E18" s="309"/>
      <c r="F18" s="309"/>
      <c r="G18" s="309"/>
      <c r="H18" s="309"/>
      <c r="I18" s="309"/>
      <c r="J18" s="309"/>
      <c r="K18" s="309"/>
      <c r="L18" s="309"/>
      <c r="M18" s="309"/>
      <c r="N18" s="309"/>
      <c r="O18" s="309"/>
      <c r="P18" s="309"/>
      <c r="Q18" s="309"/>
      <c r="R18" s="309"/>
      <c r="S18" s="309"/>
      <c r="T18" s="309"/>
      <c r="U18" s="367"/>
      <c r="AC18" s="6"/>
    </row>
    <row r="19" spans="1:29" x14ac:dyDescent="0.25">
      <c r="A19" s="37" t="s">
        <v>30</v>
      </c>
      <c r="B19" s="308"/>
      <c r="C19" s="309"/>
      <c r="D19" s="309"/>
      <c r="E19" s="309"/>
      <c r="F19" s="309"/>
      <c r="G19" s="309"/>
      <c r="H19" s="309"/>
      <c r="I19" s="309"/>
      <c r="J19" s="309"/>
      <c r="K19" s="309"/>
      <c r="L19" s="309"/>
      <c r="M19" s="309"/>
      <c r="N19" s="309"/>
      <c r="O19" s="309"/>
      <c r="P19" s="309"/>
      <c r="Q19" s="309"/>
      <c r="R19" s="309"/>
      <c r="S19" s="309"/>
      <c r="T19" s="309"/>
      <c r="U19" s="367"/>
    </row>
    <row r="20" spans="1:29" ht="25" x14ac:dyDescent="0.25">
      <c r="A20" s="38" t="s">
        <v>31</v>
      </c>
      <c r="B20" s="308"/>
      <c r="C20" s="309"/>
      <c r="D20" s="309"/>
      <c r="E20" s="309"/>
      <c r="F20" s="309"/>
      <c r="G20" s="309"/>
      <c r="H20" s="309"/>
      <c r="I20" s="309"/>
      <c r="J20" s="309"/>
      <c r="K20" s="309"/>
      <c r="L20" s="309"/>
      <c r="M20" s="309"/>
      <c r="N20" s="309"/>
      <c r="O20" s="309"/>
      <c r="P20" s="309"/>
      <c r="Q20" s="309"/>
      <c r="R20" s="309"/>
      <c r="S20" s="309"/>
      <c r="T20" s="309"/>
      <c r="U20" s="367"/>
    </row>
    <row r="21" spans="1:29" ht="27" customHeight="1" x14ac:dyDescent="0.25">
      <c r="A21" s="31" t="s">
        <v>32</v>
      </c>
      <c r="B21" s="308"/>
      <c r="C21" s="309"/>
      <c r="D21" s="309"/>
      <c r="E21" s="309"/>
      <c r="F21" s="309"/>
      <c r="G21" s="309"/>
      <c r="H21" s="309"/>
      <c r="I21" s="309"/>
      <c r="J21" s="309"/>
      <c r="K21" s="309"/>
      <c r="L21" s="309"/>
      <c r="M21" s="309"/>
      <c r="N21" s="309"/>
      <c r="O21" s="309"/>
      <c r="P21" s="309"/>
      <c r="Q21" s="309"/>
      <c r="R21" s="309"/>
      <c r="S21" s="309"/>
      <c r="T21" s="309"/>
      <c r="U21" s="367"/>
    </row>
    <row r="22" spans="1:29" x14ac:dyDescent="0.25">
      <c r="A22" s="37" t="s">
        <v>14</v>
      </c>
      <c r="B22" s="308"/>
      <c r="C22" s="309"/>
      <c r="D22" s="309"/>
      <c r="E22" s="309"/>
      <c r="F22" s="309"/>
      <c r="G22" s="309"/>
      <c r="H22" s="309"/>
      <c r="I22" s="309"/>
      <c r="J22" s="309"/>
      <c r="K22" s="309"/>
      <c r="L22" s="309"/>
      <c r="M22" s="309"/>
      <c r="N22" s="309"/>
      <c r="O22" s="309"/>
      <c r="P22" s="309"/>
      <c r="Q22" s="309"/>
      <c r="R22" s="309"/>
      <c r="S22" s="309"/>
      <c r="T22" s="309"/>
      <c r="U22" s="367"/>
    </row>
    <row r="23" spans="1:29" x14ac:dyDescent="0.25">
      <c r="A23" s="52" t="s">
        <v>41</v>
      </c>
      <c r="B23" s="308"/>
      <c r="C23" s="309"/>
      <c r="D23" s="309"/>
      <c r="E23" s="309"/>
      <c r="F23" s="309"/>
      <c r="G23" s="309"/>
      <c r="H23" s="309"/>
      <c r="I23" s="309"/>
      <c r="J23" s="309"/>
      <c r="K23" s="309"/>
      <c r="L23" s="309"/>
      <c r="M23" s="309"/>
      <c r="N23" s="309"/>
      <c r="O23" s="309"/>
      <c r="P23" s="309"/>
      <c r="Q23" s="309"/>
      <c r="R23" s="309"/>
      <c r="S23" s="309"/>
      <c r="T23" s="309"/>
      <c r="U23" s="367"/>
    </row>
    <row r="24" spans="1:29" ht="15" customHeight="1" thickBot="1" x14ac:dyDescent="0.3">
      <c r="A24" s="242"/>
      <c r="B24" s="334"/>
      <c r="C24" s="321"/>
      <c r="D24" s="321"/>
      <c r="E24" s="321"/>
      <c r="F24" s="321"/>
      <c r="G24" s="321"/>
      <c r="H24" s="321"/>
      <c r="I24" s="321"/>
      <c r="J24" s="321"/>
      <c r="K24" s="321"/>
      <c r="L24" s="321"/>
      <c r="M24" s="321"/>
      <c r="N24" s="321"/>
      <c r="O24" s="321"/>
      <c r="P24" s="321"/>
      <c r="Q24" s="321"/>
      <c r="R24" s="321"/>
      <c r="S24" s="321"/>
      <c r="T24" s="321"/>
      <c r="U24" s="381"/>
    </row>
    <row r="25" spans="1:29" ht="12" customHeight="1" thickBot="1" x14ac:dyDescent="0.3">
      <c r="A25" s="32"/>
      <c r="D25" s="2"/>
      <c r="E25" s="2"/>
      <c r="F25" s="2"/>
      <c r="G25" s="2"/>
      <c r="H25" s="2"/>
      <c r="I25" s="2"/>
      <c r="J25" s="2"/>
      <c r="K25" s="2"/>
      <c r="L25" s="2"/>
      <c r="M25" s="2"/>
      <c r="N25" s="2"/>
      <c r="O25" s="2"/>
      <c r="P25" s="196"/>
      <c r="Q25" s="196"/>
      <c r="R25" s="196"/>
      <c r="S25" s="2"/>
      <c r="T25" s="2"/>
      <c r="U25" s="17"/>
    </row>
    <row r="26" spans="1:29" ht="16.5" customHeight="1" thickBot="1" x14ac:dyDescent="0.3">
      <c r="A26" s="53" t="s">
        <v>35</v>
      </c>
      <c r="B26" s="335">
        <f>SUM(B13:E23)</f>
        <v>0</v>
      </c>
      <c r="C26" s="336"/>
      <c r="D26" s="336"/>
      <c r="E26" s="337"/>
      <c r="F26" s="335">
        <f>SUM(F13:H23)</f>
        <v>0</v>
      </c>
      <c r="G26" s="336"/>
      <c r="H26" s="337"/>
      <c r="I26" s="335">
        <f>SUM(I13:L23)</f>
        <v>0</v>
      </c>
      <c r="J26" s="336"/>
      <c r="K26" s="336"/>
      <c r="L26" s="337"/>
      <c r="M26" s="335">
        <f>SUM(M13:O23)</f>
        <v>0</v>
      </c>
      <c r="N26" s="336"/>
      <c r="O26" s="336"/>
      <c r="P26" s="335">
        <f>SUM(P13:R23)</f>
        <v>0</v>
      </c>
      <c r="Q26" s="336"/>
      <c r="R26" s="337"/>
      <c r="S26" s="382">
        <f>SUM(S13:U23)</f>
        <v>0</v>
      </c>
      <c r="T26" s="336"/>
      <c r="U26" s="383"/>
    </row>
    <row r="27" spans="1:29" ht="21.75" customHeight="1" thickBot="1" x14ac:dyDescent="0.3">
      <c r="A27" s="16"/>
      <c r="D27" s="2"/>
      <c r="E27" s="2"/>
      <c r="F27" s="2"/>
      <c r="G27" s="2"/>
      <c r="H27" s="2"/>
      <c r="I27" s="2"/>
      <c r="J27" s="2"/>
      <c r="K27" s="2"/>
      <c r="L27" s="2"/>
      <c r="M27" s="2"/>
      <c r="N27" s="2"/>
      <c r="O27" s="2"/>
      <c r="P27" s="2"/>
      <c r="Q27" s="2"/>
      <c r="R27" s="2"/>
      <c r="S27" s="61"/>
      <c r="T27" s="61"/>
      <c r="U27" s="62"/>
    </row>
    <row r="28" spans="1:29" ht="42" customHeight="1" thickBot="1" x14ac:dyDescent="0.3">
      <c r="A28" s="50" t="s">
        <v>56</v>
      </c>
      <c r="B28" s="338" t="str">
        <f>IF(R9&gt;0,SUM(B26:U26),"N/A")</f>
        <v>N/A</v>
      </c>
      <c r="C28" s="339"/>
      <c r="D28" s="339"/>
      <c r="E28" s="340"/>
      <c r="F28" s="58"/>
      <c r="I28" s="360" t="s">
        <v>55</v>
      </c>
      <c r="J28" s="361"/>
      <c r="K28" s="361"/>
      <c r="L28" s="49" t="str">
        <f>IF(AF1="Cat 1","= ",IF(AF1="Cat 2","= ",IF(AF1="Cat 3","= ",IF(AF1="Cat 4","= ",IF(AF1="Cat 5","= ","")))))</f>
        <v/>
      </c>
      <c r="M28" s="366" t="str">
        <f>IF(R9&lt;1,"Please enter Household Size",IF(AF1="Cat 1",B63,IF(AF1="Cat 2",F63,IF(AF1="Cat 3",I63,IF(AF1="Cat 4",M63,IF(AF1="Cat 5",P63,AF1))))))</f>
        <v>Please enter Household Size</v>
      </c>
      <c r="N28" s="339"/>
      <c r="O28" s="339"/>
      <c r="P28" s="340"/>
      <c r="Q28" s="58"/>
      <c r="R28" s="58"/>
      <c r="S28" s="58"/>
      <c r="T28" s="58"/>
      <c r="U28" s="18"/>
    </row>
    <row r="29" spans="1:29" ht="13" thickBot="1" x14ac:dyDescent="0.3">
      <c r="A29" s="19"/>
      <c r="B29" s="9"/>
      <c r="C29" s="9"/>
      <c r="D29" s="9"/>
      <c r="E29" s="9"/>
      <c r="F29" s="9"/>
      <c r="G29" s="9"/>
      <c r="H29" s="9"/>
      <c r="I29" s="9"/>
      <c r="J29" s="9"/>
      <c r="K29" s="9"/>
      <c r="L29" s="9"/>
      <c r="M29" s="9"/>
      <c r="N29" s="9"/>
      <c r="O29" s="9"/>
      <c r="P29" s="9"/>
      <c r="Q29" s="9"/>
      <c r="R29" s="9"/>
      <c r="S29" s="9"/>
      <c r="T29" s="9"/>
      <c r="U29" s="20"/>
    </row>
    <row r="30" spans="1:29" ht="13" thickTop="1" x14ac:dyDescent="0.25">
      <c r="A30" s="51" t="s">
        <v>43</v>
      </c>
    </row>
    <row r="31" spans="1:29" x14ac:dyDescent="0.25">
      <c r="A31" s="51" t="s">
        <v>54</v>
      </c>
      <c r="B31" s="51"/>
      <c r="C31" s="51"/>
    </row>
    <row r="32" spans="1:29" x14ac:dyDescent="0.25">
      <c r="A32" s="51" t="s">
        <v>146</v>
      </c>
      <c r="B32" s="51"/>
      <c r="C32" s="51"/>
    </row>
    <row r="33" spans="1:33" s="51" customFormat="1" x14ac:dyDescent="0.25">
      <c r="A33" s="51" t="s">
        <v>149</v>
      </c>
      <c r="D33" s="1"/>
      <c r="E33" s="1"/>
      <c r="F33" s="1"/>
      <c r="G33" s="1"/>
      <c r="H33" s="1"/>
      <c r="I33" s="1"/>
      <c r="J33" s="1"/>
      <c r="K33" s="1"/>
      <c r="L33" s="1"/>
      <c r="M33" s="1"/>
      <c r="N33" s="1"/>
      <c r="O33" s="1"/>
      <c r="P33" s="1"/>
      <c r="Q33" s="1"/>
      <c r="R33" s="1"/>
      <c r="S33" s="1"/>
      <c r="T33" s="1"/>
      <c r="U33" s="1"/>
    </row>
    <row r="34" spans="1:33" hidden="1" x14ac:dyDescent="0.25">
      <c r="A34" s="51" t="s">
        <v>147</v>
      </c>
      <c r="B34" s="51"/>
      <c r="C34" s="51"/>
    </row>
    <row r="35" spans="1:33" hidden="1" x14ac:dyDescent="0.25">
      <c r="A35" s="51" t="s">
        <v>117</v>
      </c>
      <c r="B35" s="51"/>
      <c r="C35" s="51"/>
      <c r="D35" s="51"/>
      <c r="E35" s="51"/>
      <c r="F35" s="51"/>
      <c r="G35" s="51"/>
      <c r="H35" s="51"/>
      <c r="I35" s="51"/>
      <c r="J35" s="51"/>
      <c r="K35" s="51"/>
      <c r="L35" s="51"/>
      <c r="M35" s="51"/>
      <c r="N35" s="51"/>
      <c r="O35" s="51"/>
      <c r="P35" s="51"/>
      <c r="Q35" s="51"/>
      <c r="R35" s="51"/>
      <c r="S35" s="51"/>
      <c r="T35" s="51"/>
    </row>
    <row r="36" spans="1:33" hidden="1" x14ac:dyDescent="0.25">
      <c r="A36" s="51" t="s">
        <v>125</v>
      </c>
      <c r="B36" s="51"/>
      <c r="C36" s="51"/>
      <c r="U36" s="51"/>
    </row>
    <row r="37" spans="1:33" x14ac:dyDescent="0.25">
      <c r="A37" s="51" t="s">
        <v>118</v>
      </c>
      <c r="B37" s="51"/>
      <c r="C37" s="51"/>
      <c r="D37" s="51"/>
      <c r="E37" s="51"/>
      <c r="F37" s="51"/>
      <c r="G37" s="51"/>
      <c r="H37" s="51"/>
      <c r="I37" s="51"/>
      <c r="J37" s="51"/>
      <c r="K37" s="51"/>
      <c r="L37" s="51"/>
      <c r="M37" s="51"/>
      <c r="N37" s="51"/>
      <c r="O37" s="51"/>
      <c r="P37" s="51"/>
      <c r="Q37" s="51"/>
      <c r="R37" s="51"/>
      <c r="S37" s="51"/>
      <c r="T37" s="51"/>
      <c r="U37" s="51"/>
      <c r="W37" s="188" t="s">
        <v>322</v>
      </c>
    </row>
    <row r="38" spans="1:33" x14ac:dyDescent="0.25">
      <c r="A38" s="51" t="s">
        <v>148</v>
      </c>
      <c r="B38" s="51"/>
      <c r="C38" s="51"/>
    </row>
    <row r="39" spans="1:33" x14ac:dyDescent="0.25">
      <c r="A39" s="51"/>
      <c r="B39" s="51"/>
      <c r="C39" s="51"/>
    </row>
    <row r="40" spans="1:33" x14ac:dyDescent="0.25">
      <c r="A40" s="51"/>
      <c r="B40" s="51"/>
      <c r="C40" s="51"/>
    </row>
    <row r="41" spans="1:33" ht="18" thickBot="1" x14ac:dyDescent="0.55000000000000004">
      <c r="A41" s="328"/>
      <c r="B41" s="328"/>
      <c r="C41" s="328"/>
      <c r="D41" s="328"/>
      <c r="K41" s="328"/>
      <c r="L41" s="328"/>
      <c r="M41" s="328"/>
      <c r="N41" s="328"/>
      <c r="O41" s="328"/>
      <c r="P41" s="328"/>
    </row>
    <row r="42" spans="1:33" x14ac:dyDescent="0.25">
      <c r="A42" s="6" t="s">
        <v>38</v>
      </c>
      <c r="B42" s="6"/>
      <c r="C42" s="6"/>
      <c r="K42" s="6" t="s">
        <v>39</v>
      </c>
      <c r="U42" s="63" t="s">
        <v>143</v>
      </c>
    </row>
    <row r="43" spans="1:33" ht="20.25" customHeight="1" x14ac:dyDescent="0.25"/>
    <row r="44" spans="1:33" ht="44.25" customHeight="1" thickBot="1" x14ac:dyDescent="0.4">
      <c r="A44" s="352" t="str">
        <f>IF(AND(A1=0,H1=0),"Please fill out Name or Case Number",IF(A1=0,"",A1))</f>
        <v>Please fill out Name or Case Number</v>
      </c>
      <c r="B44" s="352"/>
      <c r="C44" s="352"/>
      <c r="D44" s="352"/>
      <c r="H44" s="341" t="str">
        <f>IF(AND(A1=0,H1=0),"Please fill out Name or Case Number",IF(H1=0,"",H1))</f>
        <v>Please fill out Name or Case Number</v>
      </c>
      <c r="I44" s="341"/>
      <c r="J44" s="341"/>
      <c r="K44" s="341"/>
      <c r="O44" s="353" t="str">
        <f>IF(O1="","Please enter Agency Initials",O1)</f>
        <v>Please enter Agency Initials</v>
      </c>
      <c r="P44" s="354"/>
      <c r="R44" s="261" t="str">
        <f>IF(R1="","Please enter Initials",R1)</f>
        <v>Please enter Initials</v>
      </c>
      <c r="T44" s="59"/>
      <c r="U44" s="384">
        <f ca="1">TODAY()</f>
        <v>45692</v>
      </c>
      <c r="V44" s="384"/>
      <c r="AG44" s="7"/>
    </row>
    <row r="45" spans="1:33" ht="13.5" customHeight="1" thickTop="1" x14ac:dyDescent="0.25">
      <c r="A45" s="320" t="s">
        <v>16</v>
      </c>
      <c r="B45" s="320"/>
      <c r="C45" s="320"/>
      <c r="D45" s="320"/>
      <c r="H45" s="320" t="s">
        <v>17</v>
      </c>
      <c r="I45" s="320"/>
      <c r="J45" s="320"/>
      <c r="K45" s="320"/>
      <c r="O45" s="355" t="s">
        <v>224</v>
      </c>
      <c r="P45" s="356"/>
      <c r="R45" s="188" t="s">
        <v>321</v>
      </c>
      <c r="S45" s="188"/>
      <c r="T45" s="10"/>
      <c r="U45" s="320" t="s">
        <v>18</v>
      </c>
      <c r="V45" s="385"/>
    </row>
    <row r="46" spans="1:33" ht="13.5" customHeight="1" x14ac:dyDescent="0.25">
      <c r="A46" s="10"/>
      <c r="B46" s="10"/>
      <c r="C46" s="10"/>
      <c r="D46" s="10"/>
      <c r="H46" s="10"/>
      <c r="I46" s="10"/>
      <c r="J46" s="10"/>
      <c r="K46" s="10"/>
      <c r="O46" s="188"/>
      <c r="P46"/>
      <c r="R46" s="188"/>
      <c r="S46" s="188"/>
      <c r="T46" s="10"/>
      <c r="U46" s="10"/>
      <c r="V46" s="41"/>
    </row>
    <row r="47" spans="1:33" ht="31.5" customHeight="1" thickBot="1" x14ac:dyDescent="0.3">
      <c r="A47" s="10"/>
      <c r="B47" s="10"/>
      <c r="C47" s="10"/>
      <c r="D47" s="10"/>
      <c r="H47" s="10"/>
      <c r="I47" s="10"/>
      <c r="J47" s="10"/>
      <c r="K47" s="10"/>
      <c r="O47" s="263" t="str">
        <f>IF(O4="","Please enter Date",O4)</f>
        <v>Please enter Date</v>
      </c>
      <c r="P47" s="264"/>
      <c r="R47" s="188"/>
      <c r="S47" s="188"/>
      <c r="T47" s="10"/>
      <c r="U47" s="10"/>
      <c r="V47" s="41"/>
    </row>
    <row r="48" spans="1:33" ht="13.5" customHeight="1" thickTop="1" x14ac:dyDescent="0.25">
      <c r="A48" s="10"/>
      <c r="B48" s="10"/>
      <c r="C48" s="10"/>
      <c r="D48" s="10"/>
      <c r="H48" s="10"/>
      <c r="I48" s="10"/>
      <c r="J48" s="10"/>
      <c r="K48" s="10"/>
      <c r="O48" s="188" t="s">
        <v>323</v>
      </c>
      <c r="P48"/>
      <c r="R48" s="188"/>
      <c r="S48" s="188"/>
      <c r="T48" s="10"/>
      <c r="U48" s="10"/>
      <c r="V48" s="41"/>
    </row>
    <row r="49" spans="1:30" ht="13" thickBot="1" x14ac:dyDescent="0.3"/>
    <row r="50" spans="1:30" ht="13" thickTop="1" x14ac:dyDescent="0.25">
      <c r="A50" s="35"/>
      <c r="B50" s="15"/>
      <c r="C50" s="15"/>
      <c r="D50" s="15"/>
      <c r="E50" s="15"/>
      <c r="F50" s="15"/>
      <c r="G50" s="15"/>
      <c r="H50" s="15"/>
      <c r="I50" s="15"/>
      <c r="J50" s="15"/>
      <c r="K50" s="15"/>
      <c r="L50" s="15"/>
      <c r="M50" s="15"/>
      <c r="N50" s="15"/>
      <c r="O50" s="15"/>
      <c r="P50" s="15"/>
      <c r="Q50" s="15"/>
      <c r="R50" s="15"/>
      <c r="S50" s="15"/>
      <c r="T50" s="15"/>
      <c r="U50" s="15"/>
      <c r="V50" s="15"/>
      <c r="W50" s="33"/>
    </row>
    <row r="51" spans="1:30" ht="25" x14ac:dyDescent="0.5">
      <c r="A51" s="36" t="s">
        <v>24</v>
      </c>
      <c r="B51" s="57"/>
      <c r="C51" s="57"/>
      <c r="W51" s="18"/>
    </row>
    <row r="52" spans="1:30" ht="10.5" customHeight="1" x14ac:dyDescent="0.5">
      <c r="A52" s="36"/>
      <c r="B52" s="57"/>
      <c r="C52" s="57"/>
      <c r="W52" s="18"/>
    </row>
    <row r="53" spans="1:30" ht="47.25" customHeight="1" x14ac:dyDescent="0.25">
      <c r="A53" s="131" t="s">
        <v>25</v>
      </c>
      <c r="B53" s="275" t="str">
        <f>IF(R9&gt;0,B26,"N/A")</f>
        <v>N/A</v>
      </c>
      <c r="C53" s="276"/>
      <c r="D53" s="277"/>
      <c r="E53" s="132"/>
      <c r="F53" s="304" t="s">
        <v>44</v>
      </c>
      <c r="G53" s="284"/>
      <c r="H53" s="284"/>
      <c r="I53" s="305" t="str">
        <f>IF(R9&lt;1,"N/A",R9)</f>
        <v>N/A</v>
      </c>
      <c r="J53" s="306"/>
      <c r="K53" s="307"/>
      <c r="M53"/>
      <c r="N53"/>
      <c r="O53"/>
      <c r="P53"/>
      <c r="Q53"/>
      <c r="S53" s="11"/>
      <c r="U53" s="150"/>
      <c r="W53" s="151"/>
    </row>
    <row r="54" spans="1:30" ht="25" hidden="1" x14ac:dyDescent="0.5">
      <c r="A54" s="36"/>
      <c r="B54" s="57"/>
      <c r="C54" s="57"/>
      <c r="U54" s="11"/>
      <c r="W54" s="18"/>
    </row>
    <row r="55" spans="1:30" ht="11.25" hidden="1" customHeight="1" x14ac:dyDescent="0.25">
      <c r="A55" s="133" t="s">
        <v>136</v>
      </c>
      <c r="B55" s="293" t="str">
        <f>IF(B53=0,0,IF(R9&gt;0,B26-I53,"N/A"))</f>
        <v>N/A</v>
      </c>
      <c r="C55" s="294"/>
      <c r="D55" s="295"/>
      <c r="E55" s="80"/>
      <c r="F55" s="304" t="s">
        <v>44</v>
      </c>
      <c r="G55" s="284"/>
      <c r="H55" s="284"/>
      <c r="I55" s="305" t="str">
        <f>IF(R9&lt;1,"N/A",R9)</f>
        <v>N/A</v>
      </c>
      <c r="J55" s="306"/>
      <c r="K55" s="307"/>
      <c r="S55" s="11"/>
      <c r="W55" s="18"/>
      <c r="X55" s="8"/>
      <c r="Y55" s="8"/>
      <c r="Z55" s="8"/>
      <c r="AA55" s="8"/>
      <c r="AB55" s="8"/>
      <c r="AC55" s="8"/>
      <c r="AD55" s="8"/>
    </row>
    <row r="56" spans="1:30" ht="6.75" customHeight="1" x14ac:dyDescent="0.35">
      <c r="A56" s="82"/>
      <c r="B56" s="81"/>
      <c r="C56" s="81"/>
      <c r="D56" s="81"/>
      <c r="E56" s="81"/>
      <c r="F56" s="81"/>
      <c r="G56" s="81"/>
      <c r="H56" s="81"/>
      <c r="I56" s="81"/>
      <c r="J56" s="81"/>
      <c r="K56" s="81"/>
      <c r="L56" s="81"/>
      <c r="M56" s="81"/>
      <c r="N56" s="81"/>
      <c r="O56" s="81"/>
      <c r="P56" s="81"/>
      <c r="Q56" s="81"/>
      <c r="R56" s="81"/>
      <c r="V56" s="8"/>
      <c r="W56" s="125"/>
      <c r="X56" s="8"/>
      <c r="Y56" s="8"/>
      <c r="Z56" s="8"/>
      <c r="AA56" s="8"/>
      <c r="AB56" s="8"/>
      <c r="AC56" s="8"/>
      <c r="AD56" s="8"/>
    </row>
    <row r="57" spans="1:30" ht="36.75" customHeight="1" x14ac:dyDescent="0.35">
      <c r="A57" s="83" t="s">
        <v>261</v>
      </c>
      <c r="B57" s="296" t="str">
        <f>IF(AI11="Cat 1",AI11,IF(AI11="Cat 2",AI11,IF(AI11="Cat 3",AI11,IF(AI11="Cat 4",AI11,IF(AI11="Cat 5",AI11,IF(AI11="Cat 6",AI11,IF(AG10="N/A","N/A","N/A")))))))</f>
        <v>N/A</v>
      </c>
      <c r="C57" s="297"/>
      <c r="D57" s="298"/>
      <c r="E57" s="81"/>
      <c r="F57" s="304" t="s">
        <v>12</v>
      </c>
      <c r="G57" s="343"/>
      <c r="H57" s="344"/>
      <c r="I57" s="357" t="str">
        <f>IF(B57="Cat 1",B61,IF(B57="Cat 2",F61,IF(B57="Cat 3",I61,IF(B57="Cat 4",M61,IF(B57="Cat 5",P61,IF(B57="Cat 6",S61,"N/A"))))))</f>
        <v>N/A</v>
      </c>
      <c r="J57" s="358"/>
      <c r="K57" s="359"/>
      <c r="L57" s="81"/>
      <c r="M57" s="342" t="s">
        <v>192</v>
      </c>
      <c r="N57" s="368"/>
      <c r="O57" s="368"/>
      <c r="P57" s="369"/>
      <c r="Q57" s="380" t="str">
        <f>IF(AI11="Cat 1",B53*B61,IF(AI11="Cat 2",B53*F61,IF(AI11="Cat 3",B53*I61,IF(AI11="Cat 4",B53*M61,IF(AI11="Cat 5",B53*P61,IF(AI11="Cat 6",B53*S61,IF(AG10="N/A","N/A","N/A")))))))</f>
        <v>N/A</v>
      </c>
      <c r="R57" s="358"/>
      <c r="S57" s="359"/>
      <c r="T57"/>
      <c r="W57" s="18"/>
      <c r="X57" s="8"/>
      <c r="Y57" s="8"/>
      <c r="Z57" s="8"/>
      <c r="AA57" s="8"/>
      <c r="AB57" s="8"/>
      <c r="AC57" s="8"/>
      <c r="AD57" s="8"/>
    </row>
    <row r="58" spans="1:30" ht="9.75" customHeight="1" x14ac:dyDescent="0.35">
      <c r="A58" s="82"/>
      <c r="B58" s="81"/>
      <c r="C58" s="81"/>
      <c r="D58" s="81"/>
      <c r="E58" s="81"/>
      <c r="F58" s="81"/>
      <c r="G58" s="81"/>
      <c r="H58" s="81"/>
      <c r="I58" s="81"/>
      <c r="J58" s="81"/>
      <c r="K58" s="81"/>
      <c r="L58" s="81"/>
      <c r="M58" s="81"/>
      <c r="N58" s="81"/>
      <c r="O58" s="81"/>
      <c r="P58" s="81"/>
      <c r="Q58" s="81"/>
      <c r="R58" s="81"/>
      <c r="V58" s="8"/>
      <c r="W58" s="125"/>
      <c r="X58" s="8"/>
      <c r="Y58" s="8"/>
      <c r="Z58" s="8"/>
      <c r="AA58" s="8"/>
      <c r="AB58" s="8"/>
      <c r="AC58" s="8"/>
      <c r="AD58" s="8"/>
    </row>
    <row r="59" spans="1:30" ht="35" x14ac:dyDescent="0.35">
      <c r="A59" s="84" t="s">
        <v>262</v>
      </c>
      <c r="B59" s="347" t="str">
        <f>IF(AI11="Cat 1",AI11,IF(AI11="Cat 2",AI11,IF(AI11="Cat 3",AI11,IF(AI11="Cat 4",AI11,IF(AI11="Cat 5",AI11,IF(AI11="Cat 6",AI11,IF(AG10="N/A","N/A","N/A")))))))</f>
        <v>N/A</v>
      </c>
      <c r="C59" s="348"/>
      <c r="D59" s="349"/>
      <c r="E59" s="81"/>
      <c r="F59" s="342" t="s">
        <v>240</v>
      </c>
      <c r="G59" s="343"/>
      <c r="H59" s="344"/>
      <c r="I59" s="357" t="str">
        <f>IF(B59="Cat 1",B62,IF(B59="Cat 2",F62,IF(B59="Cat 3",I62,IF(B59="Cat 4",M62,IF(B59="Cat 5",P62,IF(B59="Cat 6",S62,"N/A"))))))</f>
        <v>N/A</v>
      </c>
      <c r="J59" s="358"/>
      <c r="K59" s="359"/>
      <c r="L59" s="81"/>
      <c r="M59" s="81"/>
      <c r="N59" s="81"/>
      <c r="O59" s="81"/>
      <c r="P59" s="81"/>
      <c r="Q59" s="81"/>
      <c r="R59" s="81"/>
      <c r="V59" s="8"/>
      <c r="W59" s="125"/>
      <c r="X59" s="2"/>
      <c r="Y59" s="2"/>
      <c r="Z59" s="2"/>
      <c r="AA59" s="2"/>
      <c r="AB59" s="2"/>
      <c r="AC59" s="2"/>
      <c r="AD59" s="2"/>
    </row>
    <row r="60" spans="1:30" ht="13" thickBot="1" x14ac:dyDescent="0.3">
      <c r="A60" s="16"/>
      <c r="V60" s="2"/>
      <c r="W60" s="17"/>
      <c r="X60" s="2"/>
      <c r="Y60" s="2"/>
      <c r="Z60" s="2"/>
      <c r="AA60" s="2"/>
      <c r="AB60" s="2"/>
      <c r="AC60" s="2"/>
      <c r="AD60" s="2"/>
    </row>
    <row r="61" spans="1:30" ht="13" thickTop="1" x14ac:dyDescent="0.25">
      <c r="A61" s="21" t="s">
        <v>23</v>
      </c>
      <c r="B61" s="290">
        <v>0</v>
      </c>
      <c r="C61" s="291"/>
      <c r="D61" s="291"/>
      <c r="E61" s="292"/>
      <c r="F61" s="290">
        <v>0.05</v>
      </c>
      <c r="G61" s="345"/>
      <c r="H61" s="346"/>
      <c r="I61" s="290">
        <v>0.05</v>
      </c>
      <c r="J61" s="345"/>
      <c r="K61" s="345"/>
      <c r="L61" s="346"/>
      <c r="M61" s="290">
        <v>7.0000000000000007E-2</v>
      </c>
      <c r="N61" s="345"/>
      <c r="O61" s="346"/>
      <c r="P61" s="290">
        <v>0.1</v>
      </c>
      <c r="Q61" s="345"/>
      <c r="R61" s="346"/>
      <c r="S61" s="290">
        <v>0.1</v>
      </c>
      <c r="T61" s="345"/>
      <c r="U61" s="345"/>
      <c r="V61" s="267" t="s">
        <v>130</v>
      </c>
      <c r="W61" s="268"/>
      <c r="X61" s="2"/>
      <c r="Y61" s="2"/>
      <c r="Z61" s="2"/>
      <c r="AA61" s="2"/>
      <c r="AB61" s="2"/>
      <c r="AC61" s="2"/>
      <c r="AD61" s="2"/>
    </row>
    <row r="62" spans="1:30" x14ac:dyDescent="0.25">
      <c r="A62" s="22" t="s">
        <v>7</v>
      </c>
      <c r="B62" s="287">
        <v>0</v>
      </c>
      <c r="C62" s="288"/>
      <c r="D62" s="288"/>
      <c r="E62" s="289"/>
      <c r="F62" s="287">
        <v>0.01</v>
      </c>
      <c r="G62" s="302"/>
      <c r="H62" s="303"/>
      <c r="I62" s="287">
        <v>0.02</v>
      </c>
      <c r="J62" s="302"/>
      <c r="K62" s="302"/>
      <c r="L62" s="303"/>
      <c r="M62" s="287">
        <v>0.03</v>
      </c>
      <c r="N62" s="302"/>
      <c r="O62" s="303"/>
      <c r="P62" s="287">
        <v>0.05</v>
      </c>
      <c r="Q62" s="302"/>
      <c r="R62" s="303"/>
      <c r="S62" s="287">
        <v>0.1</v>
      </c>
      <c r="T62" s="302"/>
      <c r="U62" s="302"/>
      <c r="V62" s="269" t="s">
        <v>130</v>
      </c>
      <c r="W62" s="270"/>
      <c r="X62" s="2"/>
      <c r="Y62" s="2"/>
      <c r="Z62" s="2"/>
      <c r="AA62" s="2"/>
      <c r="AB62" s="2"/>
      <c r="AC62" s="2"/>
      <c r="AD62" s="2"/>
    </row>
    <row r="63" spans="1:30" ht="13" thickBot="1" x14ac:dyDescent="0.3">
      <c r="A63" s="23" t="s">
        <v>8</v>
      </c>
      <c r="B63" s="278" t="s">
        <v>47</v>
      </c>
      <c r="C63" s="279"/>
      <c r="D63" s="279"/>
      <c r="E63" s="280"/>
      <c r="F63" s="278" t="s">
        <v>201</v>
      </c>
      <c r="G63" s="310"/>
      <c r="H63" s="311"/>
      <c r="I63" s="278" t="s">
        <v>202</v>
      </c>
      <c r="J63" s="310"/>
      <c r="K63" s="310"/>
      <c r="L63" s="311"/>
      <c r="M63" s="278" t="s">
        <v>50</v>
      </c>
      <c r="N63" s="310"/>
      <c r="O63" s="311"/>
      <c r="P63" s="278" t="s">
        <v>51</v>
      </c>
      <c r="Q63" s="310"/>
      <c r="R63" s="311"/>
      <c r="S63" s="278" t="s">
        <v>52</v>
      </c>
      <c r="T63" s="310"/>
      <c r="U63" s="310"/>
      <c r="V63" s="271" t="s">
        <v>131</v>
      </c>
      <c r="W63" s="272"/>
      <c r="X63" s="2"/>
      <c r="Y63" s="2"/>
      <c r="Z63" s="2"/>
      <c r="AA63" s="2"/>
      <c r="AB63" s="2"/>
      <c r="AC63" s="2"/>
      <c r="AD63" s="2"/>
    </row>
    <row r="64" spans="1:30" ht="13" thickTop="1" x14ac:dyDescent="0.25">
      <c r="A64" s="24"/>
      <c r="B64" s="329"/>
      <c r="C64" s="282"/>
      <c r="D64" s="282"/>
      <c r="E64" s="299"/>
      <c r="F64" s="281"/>
      <c r="G64" s="282"/>
      <c r="H64" s="299"/>
      <c r="I64" s="281"/>
      <c r="J64" s="282"/>
      <c r="K64" s="282"/>
      <c r="L64" s="299"/>
      <c r="M64" s="281"/>
      <c r="N64" s="282"/>
      <c r="O64" s="299"/>
      <c r="P64" s="281"/>
      <c r="Q64" s="282"/>
      <c r="R64" s="299"/>
      <c r="S64" s="281"/>
      <c r="T64" s="282"/>
      <c r="U64" s="282"/>
      <c r="V64" s="126"/>
      <c r="W64" s="127"/>
      <c r="X64" s="2"/>
      <c r="Y64" s="2"/>
      <c r="Z64" s="2"/>
      <c r="AA64" s="2"/>
      <c r="AB64" s="2"/>
      <c r="AC64" s="2"/>
      <c r="AD64" s="2"/>
    </row>
    <row r="65" spans="1:30" x14ac:dyDescent="0.25">
      <c r="A65" s="22" t="s">
        <v>9</v>
      </c>
      <c r="B65" s="283">
        <v>1</v>
      </c>
      <c r="C65" s="284"/>
      <c r="D65" s="284"/>
      <c r="E65" s="307"/>
      <c r="F65" s="283">
        <v>2</v>
      </c>
      <c r="G65" s="284"/>
      <c r="H65" s="307"/>
      <c r="I65" s="283">
        <v>3</v>
      </c>
      <c r="J65" s="284"/>
      <c r="K65" s="284"/>
      <c r="L65" s="307"/>
      <c r="M65" s="283">
        <v>4</v>
      </c>
      <c r="N65" s="284"/>
      <c r="O65" s="307"/>
      <c r="P65" s="283">
        <v>5</v>
      </c>
      <c r="Q65" s="284"/>
      <c r="R65" s="307"/>
      <c r="S65" s="283">
        <v>6</v>
      </c>
      <c r="T65" s="284"/>
      <c r="U65" s="284"/>
      <c r="V65" s="269" t="s">
        <v>132</v>
      </c>
      <c r="W65" s="270"/>
      <c r="X65" s="2"/>
      <c r="Y65" s="2"/>
      <c r="Z65" s="2"/>
      <c r="AA65" s="2"/>
      <c r="AB65" s="2"/>
      <c r="AC65" s="2"/>
      <c r="AD65" s="2"/>
    </row>
    <row r="66" spans="1:30" x14ac:dyDescent="0.25">
      <c r="A66" s="25" t="s">
        <v>0</v>
      </c>
      <c r="B66" s="283"/>
      <c r="C66" s="286"/>
      <c r="D66" s="286"/>
      <c r="E66" s="330"/>
      <c r="F66" s="285"/>
      <c r="G66" s="365"/>
      <c r="H66" s="330"/>
      <c r="I66" s="285"/>
      <c r="J66" s="286"/>
      <c r="K66" s="286"/>
      <c r="L66" s="330"/>
      <c r="M66" s="285"/>
      <c r="N66" s="286"/>
      <c r="O66" s="330"/>
      <c r="P66" s="285"/>
      <c r="Q66" s="286"/>
      <c r="R66" s="330"/>
      <c r="S66" s="285"/>
      <c r="T66" s="286"/>
      <c r="U66" s="286"/>
      <c r="V66" s="121"/>
      <c r="W66" s="128"/>
      <c r="X66" s="2"/>
      <c r="Y66" s="2"/>
      <c r="Z66" s="2"/>
      <c r="AA66" s="2"/>
      <c r="AB66" s="2"/>
      <c r="AC66" s="2"/>
      <c r="AD66" s="2"/>
    </row>
    <row r="67" spans="1:30" x14ac:dyDescent="0.25">
      <c r="A67" s="25">
        <v>1</v>
      </c>
      <c r="B67" s="148">
        <v>0</v>
      </c>
      <c r="C67" s="152" t="s">
        <v>53</v>
      </c>
      <c r="D67" s="350">
        <v>15650</v>
      </c>
      <c r="E67" s="351"/>
      <c r="F67" s="148">
        <f>D67+1</f>
        <v>15651</v>
      </c>
      <c r="G67" s="152" t="s">
        <v>53</v>
      </c>
      <c r="H67" s="149">
        <f t="shared" ref="H67:H74" si="0">ROUND(D67*1.38,0)</f>
        <v>21597</v>
      </c>
      <c r="I67" s="148">
        <f t="shared" ref="I67:I74" si="1">H67+1</f>
        <v>21598</v>
      </c>
      <c r="J67" s="152" t="s">
        <v>53</v>
      </c>
      <c r="K67" s="300">
        <f>ROUND(D67*1.5,0)</f>
        <v>23475</v>
      </c>
      <c r="L67" s="301"/>
      <c r="M67" s="148">
        <f>K67+1</f>
        <v>23476</v>
      </c>
      <c r="N67" s="152" t="s">
        <v>53</v>
      </c>
      <c r="O67" s="149">
        <f>ROUND(D67*2,0)</f>
        <v>31300</v>
      </c>
      <c r="P67" s="148">
        <f>O67+1</f>
        <v>31301</v>
      </c>
      <c r="Q67" s="152" t="s">
        <v>53</v>
      </c>
      <c r="R67" s="149">
        <f>ROUND(D67*3,0)</f>
        <v>46950</v>
      </c>
      <c r="S67" s="148">
        <f t="shared" ref="S67:S74" si="2">R67+1</f>
        <v>46951</v>
      </c>
      <c r="T67" s="152" t="s">
        <v>53</v>
      </c>
      <c r="U67" s="148">
        <f t="shared" ref="U67:U74" si="3">ROUND(D67*4,0)</f>
        <v>62600</v>
      </c>
      <c r="V67" s="153" t="s">
        <v>133</v>
      </c>
      <c r="W67" s="130">
        <f>U67</f>
        <v>62600</v>
      </c>
      <c r="X67" s="2"/>
      <c r="Y67" s="2"/>
      <c r="Z67" s="2"/>
      <c r="AA67" s="2"/>
      <c r="AB67" s="2"/>
      <c r="AC67" s="2"/>
      <c r="AD67" s="2"/>
    </row>
    <row r="68" spans="1:30" x14ac:dyDescent="0.25">
      <c r="A68" s="25">
        <v>2</v>
      </c>
      <c r="B68" s="148">
        <v>0</v>
      </c>
      <c r="C68" s="152" t="s">
        <v>53</v>
      </c>
      <c r="D68" s="300">
        <f>D67+$B$75</f>
        <v>21150</v>
      </c>
      <c r="E68" s="301"/>
      <c r="F68" s="148">
        <f t="shared" ref="F68:F74" si="4">D68+1</f>
        <v>21151</v>
      </c>
      <c r="G68" s="152" t="s">
        <v>53</v>
      </c>
      <c r="H68" s="149">
        <f t="shared" si="0"/>
        <v>29187</v>
      </c>
      <c r="I68" s="148">
        <f t="shared" si="1"/>
        <v>29188</v>
      </c>
      <c r="J68" s="152" t="s">
        <v>53</v>
      </c>
      <c r="K68" s="300">
        <f t="shared" ref="K68:K74" si="5">ROUND(D68*1.5,0)</f>
        <v>31725</v>
      </c>
      <c r="L68" s="301"/>
      <c r="M68" s="148">
        <f t="shared" ref="M68:M74" si="6">K68+1</f>
        <v>31726</v>
      </c>
      <c r="N68" s="152" t="s">
        <v>53</v>
      </c>
      <c r="O68" s="149">
        <f t="shared" ref="O68:O74" si="7">ROUND(D68*2,0)</f>
        <v>42300</v>
      </c>
      <c r="P68" s="148">
        <f t="shared" ref="P68:P74" si="8">O68+1</f>
        <v>42301</v>
      </c>
      <c r="Q68" s="152" t="s">
        <v>53</v>
      </c>
      <c r="R68" s="149">
        <f t="shared" ref="R68:R74" si="9">ROUND(D68*3,0)</f>
        <v>63450</v>
      </c>
      <c r="S68" s="148">
        <f t="shared" si="2"/>
        <v>63451</v>
      </c>
      <c r="T68" s="152" t="s">
        <v>53</v>
      </c>
      <c r="U68" s="148">
        <f t="shared" si="3"/>
        <v>84600</v>
      </c>
      <c r="V68" s="153" t="s">
        <v>133</v>
      </c>
      <c r="W68" s="130">
        <f t="shared" ref="W68:W76" si="10">U68</f>
        <v>84600</v>
      </c>
      <c r="X68" s="2"/>
      <c r="Y68" s="2"/>
      <c r="Z68" s="2"/>
      <c r="AA68" s="2"/>
      <c r="AB68" s="2"/>
      <c r="AC68" s="2"/>
      <c r="AD68" s="2"/>
    </row>
    <row r="69" spans="1:30" x14ac:dyDescent="0.25">
      <c r="A69" s="25">
        <v>3</v>
      </c>
      <c r="B69" s="148">
        <v>0</v>
      </c>
      <c r="C69" s="152" t="s">
        <v>53</v>
      </c>
      <c r="D69" s="300">
        <f t="shared" ref="D69:D74" si="11">D68+$B$75</f>
        <v>26650</v>
      </c>
      <c r="E69" s="301"/>
      <c r="F69" s="148">
        <f t="shared" si="4"/>
        <v>26651</v>
      </c>
      <c r="G69" s="152" t="s">
        <v>53</v>
      </c>
      <c r="H69" s="149">
        <f t="shared" si="0"/>
        <v>36777</v>
      </c>
      <c r="I69" s="148">
        <f t="shared" si="1"/>
        <v>36778</v>
      </c>
      <c r="J69" s="152" t="s">
        <v>53</v>
      </c>
      <c r="K69" s="300">
        <f t="shared" si="5"/>
        <v>39975</v>
      </c>
      <c r="L69" s="301"/>
      <c r="M69" s="148">
        <f t="shared" si="6"/>
        <v>39976</v>
      </c>
      <c r="N69" s="152" t="s">
        <v>53</v>
      </c>
      <c r="O69" s="149">
        <f t="shared" si="7"/>
        <v>53300</v>
      </c>
      <c r="P69" s="148">
        <f t="shared" si="8"/>
        <v>53301</v>
      </c>
      <c r="Q69" s="152" t="s">
        <v>53</v>
      </c>
      <c r="R69" s="149">
        <f t="shared" si="9"/>
        <v>79950</v>
      </c>
      <c r="S69" s="148">
        <f t="shared" si="2"/>
        <v>79951</v>
      </c>
      <c r="T69" s="152" t="s">
        <v>53</v>
      </c>
      <c r="U69" s="148">
        <f t="shared" si="3"/>
        <v>106600</v>
      </c>
      <c r="V69" s="153" t="s">
        <v>133</v>
      </c>
      <c r="W69" s="130">
        <f t="shared" si="10"/>
        <v>106600</v>
      </c>
      <c r="X69" s="11"/>
      <c r="Y69" s="11"/>
      <c r="Z69" s="11"/>
      <c r="AA69" s="11"/>
      <c r="AB69" s="11"/>
      <c r="AC69" s="11"/>
      <c r="AD69" s="11"/>
    </row>
    <row r="70" spans="1:30" x14ac:dyDescent="0.25">
      <c r="A70" s="25">
        <v>4</v>
      </c>
      <c r="B70" s="148">
        <v>0</v>
      </c>
      <c r="C70" s="152" t="s">
        <v>53</v>
      </c>
      <c r="D70" s="300">
        <f t="shared" si="11"/>
        <v>32150</v>
      </c>
      <c r="E70" s="301"/>
      <c r="F70" s="148">
        <f t="shared" si="4"/>
        <v>32151</v>
      </c>
      <c r="G70" s="152" t="s">
        <v>53</v>
      </c>
      <c r="H70" s="149">
        <f t="shared" si="0"/>
        <v>44367</v>
      </c>
      <c r="I70" s="148">
        <f t="shared" si="1"/>
        <v>44368</v>
      </c>
      <c r="J70" s="152" t="s">
        <v>53</v>
      </c>
      <c r="K70" s="300">
        <f t="shared" si="5"/>
        <v>48225</v>
      </c>
      <c r="L70" s="301"/>
      <c r="M70" s="148">
        <f t="shared" si="6"/>
        <v>48226</v>
      </c>
      <c r="N70" s="152" t="s">
        <v>53</v>
      </c>
      <c r="O70" s="149">
        <f t="shared" si="7"/>
        <v>64300</v>
      </c>
      <c r="P70" s="148">
        <f t="shared" si="8"/>
        <v>64301</v>
      </c>
      <c r="Q70" s="152" t="s">
        <v>53</v>
      </c>
      <c r="R70" s="149">
        <f t="shared" si="9"/>
        <v>96450</v>
      </c>
      <c r="S70" s="148">
        <f t="shared" si="2"/>
        <v>96451</v>
      </c>
      <c r="T70" s="152" t="s">
        <v>53</v>
      </c>
      <c r="U70" s="148">
        <f t="shared" si="3"/>
        <v>128600</v>
      </c>
      <c r="V70" s="153" t="s">
        <v>133</v>
      </c>
      <c r="W70" s="130">
        <f t="shared" si="10"/>
        <v>128600</v>
      </c>
      <c r="X70" s="2"/>
      <c r="Y70" s="2"/>
      <c r="Z70" s="2"/>
      <c r="AA70" s="2"/>
      <c r="AB70" s="2"/>
      <c r="AC70" s="2"/>
      <c r="AD70" s="2"/>
    </row>
    <row r="71" spans="1:30" x14ac:dyDescent="0.25">
      <c r="A71" s="25">
        <v>5</v>
      </c>
      <c r="B71" s="148">
        <v>0</v>
      </c>
      <c r="C71" s="152" t="s">
        <v>53</v>
      </c>
      <c r="D71" s="300">
        <f t="shared" si="11"/>
        <v>37650</v>
      </c>
      <c r="E71" s="301"/>
      <c r="F71" s="148">
        <f t="shared" si="4"/>
        <v>37651</v>
      </c>
      <c r="G71" s="152" t="s">
        <v>53</v>
      </c>
      <c r="H71" s="149">
        <f t="shared" si="0"/>
        <v>51957</v>
      </c>
      <c r="I71" s="148">
        <f t="shared" si="1"/>
        <v>51958</v>
      </c>
      <c r="J71" s="152" t="s">
        <v>53</v>
      </c>
      <c r="K71" s="300">
        <f t="shared" si="5"/>
        <v>56475</v>
      </c>
      <c r="L71" s="301"/>
      <c r="M71" s="148">
        <f t="shared" si="6"/>
        <v>56476</v>
      </c>
      <c r="N71" s="152" t="s">
        <v>53</v>
      </c>
      <c r="O71" s="149">
        <f t="shared" si="7"/>
        <v>75300</v>
      </c>
      <c r="P71" s="148">
        <f t="shared" si="8"/>
        <v>75301</v>
      </c>
      <c r="Q71" s="152" t="s">
        <v>53</v>
      </c>
      <c r="R71" s="149">
        <f t="shared" si="9"/>
        <v>112950</v>
      </c>
      <c r="S71" s="148">
        <f t="shared" si="2"/>
        <v>112951</v>
      </c>
      <c r="T71" s="152" t="s">
        <v>53</v>
      </c>
      <c r="U71" s="148">
        <f t="shared" si="3"/>
        <v>150600</v>
      </c>
      <c r="V71" s="153" t="s">
        <v>133</v>
      </c>
      <c r="W71" s="130">
        <f t="shared" si="10"/>
        <v>150600</v>
      </c>
    </row>
    <row r="72" spans="1:30" x14ac:dyDescent="0.25">
      <c r="A72" s="25">
        <v>6</v>
      </c>
      <c r="B72" s="148">
        <v>0</v>
      </c>
      <c r="C72" s="152" t="s">
        <v>53</v>
      </c>
      <c r="D72" s="300">
        <f t="shared" si="11"/>
        <v>43150</v>
      </c>
      <c r="E72" s="301"/>
      <c r="F72" s="148">
        <f t="shared" si="4"/>
        <v>43151</v>
      </c>
      <c r="G72" s="152" t="s">
        <v>53</v>
      </c>
      <c r="H72" s="149">
        <f t="shared" si="0"/>
        <v>59547</v>
      </c>
      <c r="I72" s="148">
        <f t="shared" si="1"/>
        <v>59548</v>
      </c>
      <c r="J72" s="152" t="s">
        <v>53</v>
      </c>
      <c r="K72" s="300">
        <f t="shared" si="5"/>
        <v>64725</v>
      </c>
      <c r="L72" s="301"/>
      <c r="M72" s="148">
        <f t="shared" si="6"/>
        <v>64726</v>
      </c>
      <c r="N72" s="152" t="s">
        <v>53</v>
      </c>
      <c r="O72" s="149">
        <f t="shared" si="7"/>
        <v>86300</v>
      </c>
      <c r="P72" s="148">
        <f t="shared" si="8"/>
        <v>86301</v>
      </c>
      <c r="Q72" s="152" t="s">
        <v>53</v>
      </c>
      <c r="R72" s="149">
        <f t="shared" si="9"/>
        <v>129450</v>
      </c>
      <c r="S72" s="148">
        <f t="shared" si="2"/>
        <v>129451</v>
      </c>
      <c r="T72" s="152" t="s">
        <v>53</v>
      </c>
      <c r="U72" s="148">
        <f t="shared" si="3"/>
        <v>172600</v>
      </c>
      <c r="V72" s="153" t="s">
        <v>133</v>
      </c>
      <c r="W72" s="130">
        <f t="shared" si="10"/>
        <v>172600</v>
      </c>
    </row>
    <row r="73" spans="1:30" x14ac:dyDescent="0.25">
      <c r="A73" s="25">
        <v>7</v>
      </c>
      <c r="B73" s="148">
        <v>0</v>
      </c>
      <c r="C73" s="152" t="s">
        <v>53</v>
      </c>
      <c r="D73" s="300">
        <f t="shared" si="11"/>
        <v>48650</v>
      </c>
      <c r="E73" s="301"/>
      <c r="F73" s="148">
        <f t="shared" si="4"/>
        <v>48651</v>
      </c>
      <c r="G73" s="152" t="s">
        <v>53</v>
      </c>
      <c r="H73" s="149">
        <f t="shared" si="0"/>
        <v>67137</v>
      </c>
      <c r="I73" s="148">
        <f t="shared" si="1"/>
        <v>67138</v>
      </c>
      <c r="J73" s="152" t="s">
        <v>53</v>
      </c>
      <c r="K73" s="300">
        <f t="shared" si="5"/>
        <v>72975</v>
      </c>
      <c r="L73" s="301"/>
      <c r="M73" s="148">
        <f t="shared" si="6"/>
        <v>72976</v>
      </c>
      <c r="N73" s="152" t="s">
        <v>53</v>
      </c>
      <c r="O73" s="149">
        <f t="shared" si="7"/>
        <v>97300</v>
      </c>
      <c r="P73" s="148">
        <f t="shared" si="8"/>
        <v>97301</v>
      </c>
      <c r="Q73" s="152" t="s">
        <v>53</v>
      </c>
      <c r="R73" s="149">
        <f t="shared" si="9"/>
        <v>145950</v>
      </c>
      <c r="S73" s="148">
        <f t="shared" si="2"/>
        <v>145951</v>
      </c>
      <c r="T73" s="152" t="s">
        <v>53</v>
      </c>
      <c r="U73" s="148">
        <f t="shared" si="3"/>
        <v>194600</v>
      </c>
      <c r="V73" s="153" t="s">
        <v>133</v>
      </c>
      <c r="W73" s="130">
        <f t="shared" si="10"/>
        <v>194600</v>
      </c>
    </row>
    <row r="74" spans="1:30" x14ac:dyDescent="0.25">
      <c r="A74" s="25">
        <v>8</v>
      </c>
      <c r="B74" s="148">
        <v>0</v>
      </c>
      <c r="C74" s="152" t="s">
        <v>53</v>
      </c>
      <c r="D74" s="300">
        <f t="shared" si="11"/>
        <v>54150</v>
      </c>
      <c r="E74" s="301"/>
      <c r="F74" s="148">
        <f t="shared" si="4"/>
        <v>54151</v>
      </c>
      <c r="G74" s="152" t="s">
        <v>53</v>
      </c>
      <c r="H74" s="149">
        <f t="shared" si="0"/>
        <v>74727</v>
      </c>
      <c r="I74" s="148">
        <f t="shared" si="1"/>
        <v>74728</v>
      </c>
      <c r="J74" s="152" t="s">
        <v>53</v>
      </c>
      <c r="K74" s="300">
        <f t="shared" si="5"/>
        <v>81225</v>
      </c>
      <c r="L74" s="301"/>
      <c r="M74" s="148">
        <f t="shared" si="6"/>
        <v>81226</v>
      </c>
      <c r="N74" s="152" t="s">
        <v>53</v>
      </c>
      <c r="O74" s="149">
        <f t="shared" si="7"/>
        <v>108300</v>
      </c>
      <c r="P74" s="148">
        <f t="shared" si="8"/>
        <v>108301</v>
      </c>
      <c r="Q74" s="152" t="s">
        <v>53</v>
      </c>
      <c r="R74" s="149">
        <f t="shared" si="9"/>
        <v>162450</v>
      </c>
      <c r="S74" s="148">
        <f t="shared" si="2"/>
        <v>162451</v>
      </c>
      <c r="T74" s="152" t="s">
        <v>53</v>
      </c>
      <c r="U74" s="148">
        <f t="shared" si="3"/>
        <v>216600</v>
      </c>
      <c r="V74" s="153" t="s">
        <v>133</v>
      </c>
      <c r="W74" s="130">
        <f t="shared" si="10"/>
        <v>216600</v>
      </c>
    </row>
    <row r="75" spans="1:30" ht="25" x14ac:dyDescent="0.25">
      <c r="A75" s="26" t="s">
        <v>22</v>
      </c>
      <c r="B75" s="331">
        <v>5500</v>
      </c>
      <c r="C75" s="332"/>
      <c r="D75" s="332"/>
      <c r="E75" s="333"/>
      <c r="F75" s="362">
        <f>H68-H67</f>
        <v>7590</v>
      </c>
      <c r="G75" s="363"/>
      <c r="H75" s="364"/>
      <c r="I75" s="362">
        <f>K68-K67</f>
        <v>8250</v>
      </c>
      <c r="J75" s="363"/>
      <c r="K75" s="363"/>
      <c r="L75" s="364"/>
      <c r="M75" s="362">
        <f>O68-O67</f>
        <v>11000</v>
      </c>
      <c r="N75" s="363"/>
      <c r="O75" s="364"/>
      <c r="P75" s="362">
        <f>R68-R67</f>
        <v>16500</v>
      </c>
      <c r="Q75" s="363"/>
      <c r="R75" s="364"/>
      <c r="S75" s="362">
        <f>U68-U67</f>
        <v>22000</v>
      </c>
      <c r="T75" s="363"/>
      <c r="U75" s="363"/>
      <c r="V75" s="273">
        <f>S75</f>
        <v>22000</v>
      </c>
      <c r="W75" s="274"/>
    </row>
    <row r="76" spans="1:30" x14ac:dyDescent="0.25">
      <c r="A76" s="106" t="str">
        <f>IF(R9&lt;=8,"Income level for 8+",R9)</f>
        <v>Income level for 8+</v>
      </c>
      <c r="B76" s="152" t="str">
        <f>IF($R$9&gt;8,0,"")</f>
        <v/>
      </c>
      <c r="C76" s="152" t="str">
        <f>IF($R$9&gt;8,"-","")</f>
        <v/>
      </c>
      <c r="D76" s="300" t="str">
        <f>IF($R$9&gt;8,D74+(B75*($R$9-8)),"")</f>
        <v/>
      </c>
      <c r="E76" s="301"/>
      <c r="F76" s="148" t="str">
        <f>IF($R$9&gt;8,D76+1,"")</f>
        <v/>
      </c>
      <c r="G76" s="152" t="str">
        <f>IF($R$9&gt;8,"-","")</f>
        <v/>
      </c>
      <c r="H76" s="149" t="str">
        <f>IF($R$9&gt;8,H74+(F75*($R$9-8)),"")</f>
        <v/>
      </c>
      <c r="I76" s="148" t="str">
        <f>IF($R$9&gt;8,H76+1,"")</f>
        <v/>
      </c>
      <c r="J76" s="152" t="str">
        <f>IF($R$9&gt;8,"-","")</f>
        <v/>
      </c>
      <c r="K76" s="300" t="str">
        <f>IF($R$9&gt;8,K74+(I75*($R$9-8)),"")</f>
        <v/>
      </c>
      <c r="L76" s="301"/>
      <c r="M76" s="148" t="str">
        <f>IF($R$9&gt;8,K76+1,"")</f>
        <v/>
      </c>
      <c r="N76" s="152" t="str">
        <f>IF($R$9&gt;8,"-","")</f>
        <v/>
      </c>
      <c r="O76" s="148" t="str">
        <f>IF($R$9&gt;8,O74+(M75*($R$9-8)),"")</f>
        <v/>
      </c>
      <c r="P76" s="105" t="str">
        <f>IF($R$9&gt;8,O76+1,"")</f>
        <v/>
      </c>
      <c r="Q76" s="152" t="str">
        <f>IF($R$9&gt;8,"-","")</f>
        <v/>
      </c>
      <c r="R76" s="148" t="str">
        <f>IF($R$9&gt;8,R74+(P75*($R$9-8)),"")</f>
        <v/>
      </c>
      <c r="S76" s="105" t="str">
        <f>IF($R$9&gt;8,R76+1,"")</f>
        <v/>
      </c>
      <c r="T76" s="152" t="str">
        <f>IF($R$9&gt;8,"-","")</f>
        <v/>
      </c>
      <c r="U76" s="148" t="str">
        <f>IF($R$9&gt;8,U74+(S75*($R$9-8)),"")</f>
        <v/>
      </c>
      <c r="V76" s="153" t="str">
        <f>IF(R9&gt;8,"&gt;","")</f>
        <v/>
      </c>
      <c r="W76" s="130" t="str">
        <f t="shared" si="10"/>
        <v/>
      </c>
    </row>
    <row r="77" spans="1:30" ht="13" thickBot="1" x14ac:dyDescent="0.3">
      <c r="A77" s="23"/>
      <c r="B77" s="54"/>
      <c r="C77" s="54"/>
      <c r="D77" s="54"/>
      <c r="E77" s="27"/>
      <c r="F77" s="54"/>
      <c r="G77" s="54"/>
      <c r="H77" s="27"/>
      <c r="I77" s="54"/>
      <c r="J77" s="54"/>
      <c r="K77" s="54"/>
      <c r="L77" s="27"/>
      <c r="M77" s="54"/>
      <c r="N77" s="54"/>
      <c r="O77" s="27"/>
      <c r="P77" s="54"/>
      <c r="Q77" s="54"/>
      <c r="R77" s="27"/>
      <c r="S77" s="54"/>
      <c r="T77" s="54"/>
      <c r="U77" s="54"/>
      <c r="V77" s="129"/>
      <c r="W77" s="20"/>
    </row>
    <row r="78" spans="1:30" ht="13" thickTop="1" x14ac:dyDescent="0.25"/>
    <row r="79" spans="1:30" x14ac:dyDescent="0.25">
      <c r="A79" s="194" t="s">
        <v>328</v>
      </c>
      <c r="B79" s="6"/>
      <c r="C79" s="6"/>
    </row>
    <row r="80" spans="1:30" x14ac:dyDescent="0.25">
      <c r="B80" s="6"/>
      <c r="C80" s="6"/>
    </row>
    <row r="81" spans="1:21" ht="18" thickBot="1" x14ac:dyDescent="0.55000000000000004">
      <c r="A81" s="328"/>
      <c r="B81" s="328"/>
      <c r="C81" s="328"/>
      <c r="D81" s="328"/>
      <c r="K81" s="328"/>
      <c r="L81" s="328"/>
      <c r="M81" s="328"/>
      <c r="N81" s="328"/>
      <c r="O81" s="223"/>
      <c r="U81" s="63" t="str">
        <f>U42</f>
        <v>created 11/12</v>
      </c>
    </row>
    <row r="82" spans="1:21" x14ac:dyDescent="0.25">
      <c r="A82" s="6" t="s">
        <v>38</v>
      </c>
      <c r="B82" s="6"/>
      <c r="C82" s="6"/>
      <c r="K82" s="6" t="s">
        <v>39</v>
      </c>
    </row>
  </sheetData>
  <sheetProtection sheet="1" objects="1" scenarios="1"/>
  <mergeCells count="190">
    <mergeCell ref="K81:N81"/>
    <mergeCell ref="Q57:S57"/>
    <mergeCell ref="P61:R61"/>
    <mergeCell ref="P13:R13"/>
    <mergeCell ref="S13:U13"/>
    <mergeCell ref="S15:U15"/>
    <mergeCell ref="S16:U16"/>
    <mergeCell ref="S17:U17"/>
    <mergeCell ref="S24:U24"/>
    <mergeCell ref="P17:R17"/>
    <mergeCell ref="P18:R18"/>
    <mergeCell ref="P19:R19"/>
    <mergeCell ref="P20:R20"/>
    <mergeCell ref="P15:R15"/>
    <mergeCell ref="P16:R16"/>
    <mergeCell ref="S19:U19"/>
    <mergeCell ref="S20:U20"/>
    <mergeCell ref="P23:R23"/>
    <mergeCell ref="S26:U26"/>
    <mergeCell ref="U44:V44"/>
    <mergeCell ref="U45:V45"/>
    <mergeCell ref="S18:U18"/>
    <mergeCell ref="O41:P41"/>
    <mergeCell ref="M17:O17"/>
    <mergeCell ref="S11:U11"/>
    <mergeCell ref="S12:U12"/>
    <mergeCell ref="S1:U1"/>
    <mergeCell ref="S2:U2"/>
    <mergeCell ref="P26:R26"/>
    <mergeCell ref="O9:Q9"/>
    <mergeCell ref="P11:R12"/>
    <mergeCell ref="S63:U63"/>
    <mergeCell ref="P75:R75"/>
    <mergeCell ref="S75:U75"/>
    <mergeCell ref="P62:R62"/>
    <mergeCell ref="P63:R63"/>
    <mergeCell ref="P65:R65"/>
    <mergeCell ref="M65:O65"/>
    <mergeCell ref="M66:O66"/>
    <mergeCell ref="M75:O75"/>
    <mergeCell ref="M63:O63"/>
    <mergeCell ref="M62:O62"/>
    <mergeCell ref="M64:O64"/>
    <mergeCell ref="P66:R66"/>
    <mergeCell ref="P64:R64"/>
    <mergeCell ref="M11:O12"/>
    <mergeCell ref="M13:O13"/>
    <mergeCell ref="M15:O15"/>
    <mergeCell ref="I11:L12"/>
    <mergeCell ref="I13:L13"/>
    <mergeCell ref="I15:L15"/>
    <mergeCell ref="I16:L16"/>
    <mergeCell ref="I17:L17"/>
    <mergeCell ref="I24:L24"/>
    <mergeCell ref="I26:L26"/>
    <mergeCell ref="S61:U61"/>
    <mergeCell ref="S62:U62"/>
    <mergeCell ref="M28:P28"/>
    <mergeCell ref="I61:L61"/>
    <mergeCell ref="I59:K59"/>
    <mergeCell ref="S21:U21"/>
    <mergeCell ref="S22:U22"/>
    <mergeCell ref="S23:U23"/>
    <mergeCell ref="P21:R21"/>
    <mergeCell ref="P24:R24"/>
    <mergeCell ref="M22:O22"/>
    <mergeCell ref="M23:O23"/>
    <mergeCell ref="M24:O24"/>
    <mergeCell ref="M61:O61"/>
    <mergeCell ref="M57:P57"/>
    <mergeCell ref="P22:R22"/>
    <mergeCell ref="I23:L23"/>
    <mergeCell ref="I57:K57"/>
    <mergeCell ref="I28:K28"/>
    <mergeCell ref="F23:H23"/>
    <mergeCell ref="F57:H57"/>
    <mergeCell ref="K76:L76"/>
    <mergeCell ref="I62:L62"/>
    <mergeCell ref="I63:L63"/>
    <mergeCell ref="I64:L64"/>
    <mergeCell ref="I65:L65"/>
    <mergeCell ref="K70:L70"/>
    <mergeCell ref="K71:L71"/>
    <mergeCell ref="K68:L68"/>
    <mergeCell ref="I66:L66"/>
    <mergeCell ref="K67:L67"/>
    <mergeCell ref="K74:L74"/>
    <mergeCell ref="I75:L75"/>
    <mergeCell ref="K72:L72"/>
    <mergeCell ref="K73:L73"/>
    <mergeCell ref="K69:L69"/>
    <mergeCell ref="F66:H66"/>
    <mergeCell ref="F75:H75"/>
    <mergeCell ref="K41:N41"/>
    <mergeCell ref="D72:E72"/>
    <mergeCell ref="D76:E76"/>
    <mergeCell ref="M18:O18"/>
    <mergeCell ref="A41:D41"/>
    <mergeCell ref="A45:D45"/>
    <mergeCell ref="I20:L20"/>
    <mergeCell ref="A44:D44"/>
    <mergeCell ref="B13:E13"/>
    <mergeCell ref="B15:E15"/>
    <mergeCell ref="F15:H15"/>
    <mergeCell ref="I18:L18"/>
    <mergeCell ref="I21:L21"/>
    <mergeCell ref="I22:L22"/>
    <mergeCell ref="M19:O19"/>
    <mergeCell ref="M26:O26"/>
    <mergeCell ref="M14:O14"/>
    <mergeCell ref="F16:H16"/>
    <mergeCell ref="F17:H17"/>
    <mergeCell ref="F18:H18"/>
    <mergeCell ref="B16:E16"/>
    <mergeCell ref="B17:E17"/>
    <mergeCell ref="H45:K45"/>
    <mergeCell ref="O44:P44"/>
    <mergeCell ref="O45:P45"/>
    <mergeCell ref="F22:H22"/>
    <mergeCell ref="A81:D81"/>
    <mergeCell ref="B64:E64"/>
    <mergeCell ref="B65:E65"/>
    <mergeCell ref="B66:E66"/>
    <mergeCell ref="B75:E75"/>
    <mergeCell ref="B23:E23"/>
    <mergeCell ref="B24:E24"/>
    <mergeCell ref="M20:O20"/>
    <mergeCell ref="M21:O21"/>
    <mergeCell ref="F20:H20"/>
    <mergeCell ref="B21:E21"/>
    <mergeCell ref="B26:E26"/>
    <mergeCell ref="B28:E28"/>
    <mergeCell ref="F26:H26"/>
    <mergeCell ref="H44:K44"/>
    <mergeCell ref="F59:H59"/>
    <mergeCell ref="F61:H61"/>
    <mergeCell ref="B59:D59"/>
    <mergeCell ref="D70:E70"/>
    <mergeCell ref="D71:E71"/>
    <mergeCell ref="D69:E69"/>
    <mergeCell ref="D67:E67"/>
    <mergeCell ref="D73:E73"/>
    <mergeCell ref="D68:E68"/>
    <mergeCell ref="B18:E18"/>
    <mergeCell ref="F63:H63"/>
    <mergeCell ref="F19:H19"/>
    <mergeCell ref="F21:H21"/>
    <mergeCell ref="P14:R14"/>
    <mergeCell ref="S14:U14"/>
    <mergeCell ref="A1:D1"/>
    <mergeCell ref="H1:K1"/>
    <mergeCell ref="A2:D2"/>
    <mergeCell ref="H2:K2"/>
    <mergeCell ref="F24:H24"/>
    <mergeCell ref="B22:E22"/>
    <mergeCell ref="B19:E19"/>
    <mergeCell ref="B20:E20"/>
    <mergeCell ref="B11:E12"/>
    <mergeCell ref="F13:H13"/>
    <mergeCell ref="F11:H12"/>
    <mergeCell ref="I19:L19"/>
    <mergeCell ref="B14:E14"/>
    <mergeCell ref="F14:H14"/>
    <mergeCell ref="I14:L14"/>
    <mergeCell ref="M16:O16"/>
    <mergeCell ref="O1:P1"/>
    <mergeCell ref="O47:P47"/>
    <mergeCell ref="O4:P4"/>
    <mergeCell ref="V61:W61"/>
    <mergeCell ref="V62:W62"/>
    <mergeCell ref="V63:W63"/>
    <mergeCell ref="V65:W65"/>
    <mergeCell ref="V75:W75"/>
    <mergeCell ref="B53:D53"/>
    <mergeCell ref="B63:E63"/>
    <mergeCell ref="S64:U64"/>
    <mergeCell ref="S65:U65"/>
    <mergeCell ref="S66:U66"/>
    <mergeCell ref="B62:E62"/>
    <mergeCell ref="B61:E61"/>
    <mergeCell ref="B55:D55"/>
    <mergeCell ref="B57:D57"/>
    <mergeCell ref="F64:H64"/>
    <mergeCell ref="D74:E74"/>
    <mergeCell ref="F62:H62"/>
    <mergeCell ref="F53:H53"/>
    <mergeCell ref="I53:K53"/>
    <mergeCell ref="F55:H55"/>
    <mergeCell ref="I55:K55"/>
    <mergeCell ref="F65:H65"/>
  </mergeCells>
  <phoneticPr fontId="0" type="noConversion"/>
  <conditionalFormatting sqref="B67">
    <cfRule type="expression" dxfId="369" priority="739" stopIfTrue="1">
      <formula>AND(B59="Cat 1",R9=1)</formula>
    </cfRule>
  </conditionalFormatting>
  <conditionalFormatting sqref="B68">
    <cfRule type="expression" dxfId="368" priority="742" stopIfTrue="1">
      <formula>AND(B59="Cat 1",R9=2)</formula>
    </cfRule>
  </conditionalFormatting>
  <conditionalFormatting sqref="B69">
    <cfRule type="expression" dxfId="367" priority="745" stopIfTrue="1">
      <formula>AND(B59="Cat 1",R9=3)</formula>
    </cfRule>
  </conditionalFormatting>
  <conditionalFormatting sqref="B70">
    <cfRule type="expression" dxfId="366" priority="748" stopIfTrue="1">
      <formula>AND(B59="Cat 1",R9=4)</formula>
    </cfRule>
  </conditionalFormatting>
  <conditionalFormatting sqref="B71">
    <cfRule type="expression" dxfId="365" priority="751" stopIfTrue="1">
      <formula>AND(B59="Cat 1",R9=5)</formula>
    </cfRule>
  </conditionalFormatting>
  <conditionalFormatting sqref="B72">
    <cfRule type="expression" dxfId="364" priority="754" stopIfTrue="1">
      <formula>AND(B59="Cat 1",R9=6)</formula>
    </cfRule>
  </conditionalFormatting>
  <conditionalFormatting sqref="B73">
    <cfRule type="expression" dxfId="363" priority="757" stopIfTrue="1">
      <formula>AND(B59="Cat 1",R9=7)</formula>
    </cfRule>
  </conditionalFormatting>
  <conditionalFormatting sqref="B74">
    <cfRule type="expression" dxfId="362" priority="760" stopIfTrue="1">
      <formula>AND(B59="Cat 1",R9=8)</formula>
    </cfRule>
  </conditionalFormatting>
  <conditionalFormatting sqref="B76">
    <cfRule type="expression" dxfId="361" priority="901" stopIfTrue="1">
      <formula>AND(B59="Cat 1",R9&gt;8)</formula>
    </cfRule>
  </conditionalFormatting>
  <conditionalFormatting sqref="C67">
    <cfRule type="expression" dxfId="360" priority="740" stopIfTrue="1">
      <formula>AND(B59="Cat 1",R9=1)</formula>
    </cfRule>
  </conditionalFormatting>
  <conditionalFormatting sqref="C68">
    <cfRule type="expression" dxfId="359" priority="743" stopIfTrue="1">
      <formula>AND(B59="Cat 1",R9=2)</formula>
    </cfRule>
  </conditionalFormatting>
  <conditionalFormatting sqref="C69">
    <cfRule type="expression" dxfId="358" priority="746" stopIfTrue="1">
      <formula>AND(B59="Cat 1",R9=3)</formula>
    </cfRule>
  </conditionalFormatting>
  <conditionalFormatting sqref="C70">
    <cfRule type="expression" dxfId="357" priority="749" stopIfTrue="1">
      <formula>AND(B59="Cat 1",R9=4)</formula>
    </cfRule>
  </conditionalFormatting>
  <conditionalFormatting sqref="C71">
    <cfRule type="expression" dxfId="356" priority="752" stopIfTrue="1">
      <formula>AND(B59="Cat 1",R9=5)</formula>
    </cfRule>
  </conditionalFormatting>
  <conditionalFormatting sqref="C72">
    <cfRule type="expression" dxfId="355" priority="755" stopIfTrue="1">
      <formula>AND(B59="Cat 1",R9=6)</formula>
    </cfRule>
  </conditionalFormatting>
  <conditionalFormatting sqref="C73">
    <cfRule type="expression" dxfId="354" priority="758" stopIfTrue="1">
      <formula>AND(B59="Cat 1",R9=7)</formula>
    </cfRule>
  </conditionalFormatting>
  <conditionalFormatting sqref="C74">
    <cfRule type="expression" dxfId="353" priority="761" stopIfTrue="1">
      <formula>AND(B59="Cat 1",R9=8)</formula>
    </cfRule>
  </conditionalFormatting>
  <conditionalFormatting sqref="C76">
    <cfRule type="expression" dxfId="352" priority="902" stopIfTrue="1">
      <formula>AND(B59="Cat 1",R9&gt;8)</formula>
    </cfRule>
  </conditionalFormatting>
  <conditionalFormatting sqref="D67:E67">
    <cfRule type="expression" dxfId="351" priority="741" stopIfTrue="1">
      <formula>AND(B59="Cat 1",R9=1)</formula>
    </cfRule>
  </conditionalFormatting>
  <conditionalFormatting sqref="D68:E68">
    <cfRule type="expression" dxfId="350" priority="744" stopIfTrue="1">
      <formula>AND(B59="Cat 1",R9=2)</formula>
    </cfRule>
  </conditionalFormatting>
  <conditionalFormatting sqref="D69:E69">
    <cfRule type="expression" dxfId="349" priority="747" stopIfTrue="1">
      <formula>AND(B59="Cat 1",R9=3)</formula>
    </cfRule>
  </conditionalFormatting>
  <conditionalFormatting sqref="D70:E70">
    <cfRule type="expression" dxfId="348" priority="750" stopIfTrue="1">
      <formula>AND(B59="Cat 1",R9=4)</formula>
    </cfRule>
  </conditionalFormatting>
  <conditionalFormatting sqref="D71:E71">
    <cfRule type="expression" dxfId="347" priority="753" stopIfTrue="1">
      <formula>AND(B59="Cat 1",R9=5)</formula>
    </cfRule>
  </conditionalFormatting>
  <conditionalFormatting sqref="D72:E72">
    <cfRule type="expression" dxfId="346" priority="756" stopIfTrue="1">
      <formula>AND(B59="Cat 1",R9=6)</formula>
    </cfRule>
  </conditionalFormatting>
  <conditionalFormatting sqref="D73:E73">
    <cfRule type="expression" dxfId="345" priority="759" stopIfTrue="1">
      <formula>AND(B59="Cat 1",R9=7)</formula>
    </cfRule>
  </conditionalFormatting>
  <conditionalFormatting sqref="D74:E74">
    <cfRule type="expression" dxfId="344" priority="762" stopIfTrue="1">
      <formula>AND(B59="Cat 1",R9=8)</formula>
    </cfRule>
  </conditionalFormatting>
  <conditionalFormatting sqref="D76:E76">
    <cfRule type="expression" dxfId="343" priority="903" stopIfTrue="1">
      <formula>AND(B59="Cat 1",R9&gt;8)</formula>
    </cfRule>
  </conditionalFormatting>
  <conditionalFormatting sqref="F67">
    <cfRule type="expression" dxfId="342" priority="763" stopIfTrue="1">
      <formula>AND(B59="Cat 2",R9=1)</formula>
    </cfRule>
  </conditionalFormatting>
  <conditionalFormatting sqref="F68">
    <cfRule type="expression" dxfId="341" priority="766" stopIfTrue="1">
      <formula>AND(B59="Cat 2",R9=2)</formula>
    </cfRule>
  </conditionalFormatting>
  <conditionalFormatting sqref="F69">
    <cfRule type="expression" dxfId="340" priority="769" stopIfTrue="1">
      <formula>AND(B59="Cat 2",R9=3)</formula>
    </cfRule>
  </conditionalFormatting>
  <conditionalFormatting sqref="F70">
    <cfRule type="expression" dxfId="339" priority="772" stopIfTrue="1">
      <formula>AND(B59="Cat 2",R9=4)</formula>
    </cfRule>
  </conditionalFormatting>
  <conditionalFormatting sqref="F71">
    <cfRule type="expression" dxfId="338" priority="775" stopIfTrue="1">
      <formula>AND(B59="Cat 2",R9=5)</formula>
    </cfRule>
  </conditionalFormatting>
  <conditionalFormatting sqref="F72">
    <cfRule type="expression" dxfId="337" priority="778" stopIfTrue="1">
      <formula>AND(B59="Cat 2",R9=6)</formula>
    </cfRule>
  </conditionalFormatting>
  <conditionalFormatting sqref="F73">
    <cfRule type="expression" dxfId="336" priority="781" stopIfTrue="1">
      <formula>AND(B59="Cat 2",R9=7)</formula>
    </cfRule>
  </conditionalFormatting>
  <conditionalFormatting sqref="F74">
    <cfRule type="expression" dxfId="335" priority="784" stopIfTrue="1">
      <formula>AND(B59="Cat 2",R9=8)</formula>
    </cfRule>
  </conditionalFormatting>
  <conditionalFormatting sqref="F76">
    <cfRule type="expression" dxfId="334" priority="904" stopIfTrue="1">
      <formula>AND(B59="Cat 2",R9&gt;8)</formula>
    </cfRule>
  </conditionalFormatting>
  <conditionalFormatting sqref="G67">
    <cfRule type="expression" dxfId="333" priority="764" stopIfTrue="1">
      <formula>AND(B59="Cat 2",R9=1)</formula>
    </cfRule>
  </conditionalFormatting>
  <conditionalFormatting sqref="G68">
    <cfRule type="expression" dxfId="332" priority="767" stopIfTrue="1">
      <formula>AND(B59="Cat 2",R9=2)</formula>
    </cfRule>
  </conditionalFormatting>
  <conditionalFormatting sqref="G69">
    <cfRule type="expression" dxfId="331" priority="770" stopIfTrue="1">
      <formula>AND(B59="Cat 2",R9=3)</formula>
    </cfRule>
  </conditionalFormatting>
  <conditionalFormatting sqref="G70">
    <cfRule type="expression" dxfId="330" priority="773" stopIfTrue="1">
      <formula>AND(B59="Cat 2",R9=4)</formula>
    </cfRule>
  </conditionalFormatting>
  <conditionalFormatting sqref="G71">
    <cfRule type="expression" dxfId="329" priority="776" stopIfTrue="1">
      <formula>AND(B59="Cat 2",R9=5)</formula>
    </cfRule>
  </conditionalFormatting>
  <conditionalFormatting sqref="G72">
    <cfRule type="expression" dxfId="328" priority="779" stopIfTrue="1">
      <formula>AND(B59="Cat 2",R9=6)</formula>
    </cfRule>
  </conditionalFormatting>
  <conditionalFormatting sqref="G73">
    <cfRule type="expression" dxfId="327" priority="782" stopIfTrue="1">
      <formula>AND(B59="Cat 2",R9=7)</formula>
    </cfRule>
  </conditionalFormatting>
  <conditionalFormatting sqref="G74">
    <cfRule type="expression" dxfId="326" priority="785" stopIfTrue="1">
      <formula>AND(B59="Cat 2",R9=8)</formula>
    </cfRule>
  </conditionalFormatting>
  <conditionalFormatting sqref="G76">
    <cfRule type="expression" dxfId="325" priority="905" stopIfTrue="1">
      <formula>AND(B59="Cat 2",R9&gt;8)</formula>
    </cfRule>
  </conditionalFormatting>
  <conditionalFormatting sqref="H67">
    <cfRule type="expression" dxfId="324" priority="765" stopIfTrue="1">
      <formula>AND(B59="Cat 2",R9=1)</formula>
    </cfRule>
  </conditionalFormatting>
  <conditionalFormatting sqref="H68">
    <cfRule type="expression" dxfId="323" priority="768" stopIfTrue="1">
      <formula>AND(B59="Cat 2",R9=2)</formula>
    </cfRule>
  </conditionalFormatting>
  <conditionalFormatting sqref="H69">
    <cfRule type="expression" dxfId="322" priority="771" stopIfTrue="1">
      <formula>AND(B59="Cat 2",R9=3)</formula>
    </cfRule>
  </conditionalFormatting>
  <conditionalFormatting sqref="H70">
    <cfRule type="expression" dxfId="321" priority="774" stopIfTrue="1">
      <formula>AND(B59="Cat 2",R9=4)</formula>
    </cfRule>
  </conditionalFormatting>
  <conditionalFormatting sqref="H71">
    <cfRule type="expression" dxfId="320" priority="777" stopIfTrue="1">
      <formula>AND(B59="Cat 2",R9=5)</formula>
    </cfRule>
  </conditionalFormatting>
  <conditionalFormatting sqref="H72">
    <cfRule type="expression" dxfId="319" priority="780" stopIfTrue="1">
      <formula>AND(B59="Cat 2",R9=6)</formula>
    </cfRule>
  </conditionalFormatting>
  <conditionalFormatting sqref="H73">
    <cfRule type="expression" dxfId="318" priority="783" stopIfTrue="1">
      <formula>AND(B59="Cat 2",R9=7)</formula>
    </cfRule>
  </conditionalFormatting>
  <conditionalFormatting sqref="H74">
    <cfRule type="expression" dxfId="317" priority="786" stopIfTrue="1">
      <formula>AND(B59="Cat 2",R9=8)</formula>
    </cfRule>
  </conditionalFormatting>
  <conditionalFormatting sqref="H76">
    <cfRule type="expression" dxfId="316" priority="906" stopIfTrue="1">
      <formula>AND(B59="Cat 2",R9&gt;8)</formula>
    </cfRule>
  </conditionalFormatting>
  <conditionalFormatting sqref="I67">
    <cfRule type="expression" dxfId="315" priority="787" stopIfTrue="1">
      <formula>AND(B59="Cat 3",R9=1)</formula>
    </cfRule>
  </conditionalFormatting>
  <conditionalFormatting sqref="I68">
    <cfRule type="expression" dxfId="314" priority="814" stopIfTrue="1">
      <formula>AND(B59="Cat 3",R9=2)</formula>
    </cfRule>
  </conditionalFormatting>
  <conditionalFormatting sqref="I69">
    <cfRule type="expression" dxfId="313" priority="815" stopIfTrue="1">
      <formula>AND(B59="Cat 3",R9=3)</formula>
    </cfRule>
  </conditionalFormatting>
  <conditionalFormatting sqref="I70">
    <cfRule type="expression" dxfId="312" priority="842" stopIfTrue="1">
      <formula>AND(B59="Cat 3",R9=4)</formula>
    </cfRule>
  </conditionalFormatting>
  <conditionalFormatting sqref="I71">
    <cfRule type="expression" dxfId="311" priority="843" stopIfTrue="1">
      <formula>AND(B59="Cat 3",R9=5)</formula>
    </cfRule>
  </conditionalFormatting>
  <conditionalFormatting sqref="I72">
    <cfRule type="expression" dxfId="310" priority="870" stopIfTrue="1">
      <formula>AND(B59="Cat 3",R9=6)</formula>
    </cfRule>
  </conditionalFormatting>
  <conditionalFormatting sqref="I73">
    <cfRule type="expression" dxfId="309" priority="871" stopIfTrue="1">
      <formula>AND(B59="Cat 3",R9=7)</formula>
    </cfRule>
  </conditionalFormatting>
  <conditionalFormatting sqref="I74">
    <cfRule type="expression" dxfId="308" priority="898" stopIfTrue="1">
      <formula>AND(B59="Cat 3",R9=8)</formula>
    </cfRule>
  </conditionalFormatting>
  <conditionalFormatting sqref="I76">
    <cfRule type="expression" dxfId="307" priority="907" stopIfTrue="1">
      <formula>AND(B59="Cat 3",R9&gt;8)</formula>
    </cfRule>
  </conditionalFormatting>
  <conditionalFormatting sqref="J67">
    <cfRule type="expression" dxfId="306" priority="788" stopIfTrue="1">
      <formula>AND(B59="Cat 3",R9=1)</formula>
    </cfRule>
  </conditionalFormatting>
  <conditionalFormatting sqref="J68">
    <cfRule type="expression" dxfId="305" priority="813" stopIfTrue="1">
      <formula>AND(B59="Cat 3",R9=2)</formula>
    </cfRule>
  </conditionalFormatting>
  <conditionalFormatting sqref="J69">
    <cfRule type="expression" dxfId="304" priority="816" stopIfTrue="1">
      <formula>AND(B59="Cat 3",R9=3)</formula>
    </cfRule>
  </conditionalFormatting>
  <conditionalFormatting sqref="J70">
    <cfRule type="expression" dxfId="303" priority="841" stopIfTrue="1">
      <formula>AND(B59="Cat 3",R9=4)</formula>
    </cfRule>
  </conditionalFormatting>
  <conditionalFormatting sqref="J71">
    <cfRule type="expression" dxfId="302" priority="844" stopIfTrue="1">
      <formula>AND(B59="Cat 3",R9=5)</formula>
    </cfRule>
  </conditionalFormatting>
  <conditionalFormatting sqref="J72">
    <cfRule type="expression" dxfId="301" priority="869" stopIfTrue="1">
      <formula>AND(B59="Cat 3",R9=6)</formula>
    </cfRule>
  </conditionalFormatting>
  <conditionalFormatting sqref="J73">
    <cfRule type="expression" dxfId="300" priority="872" stopIfTrue="1">
      <formula>AND(B59="Cat 3",R9=7)</formula>
    </cfRule>
  </conditionalFormatting>
  <conditionalFormatting sqref="J74">
    <cfRule type="expression" dxfId="299" priority="897" stopIfTrue="1">
      <formula>AND(B59="Cat 3",R9=8)</formula>
    </cfRule>
  </conditionalFormatting>
  <conditionalFormatting sqref="J76">
    <cfRule type="expression" dxfId="298" priority="908" stopIfTrue="1">
      <formula>AND(B59="Cat 3",R9&gt;8)</formula>
    </cfRule>
  </conditionalFormatting>
  <conditionalFormatting sqref="K67:L67">
    <cfRule type="expression" dxfId="297" priority="789" stopIfTrue="1">
      <formula>AND(B59="Cat 3",R9=1)</formula>
    </cfRule>
  </conditionalFormatting>
  <conditionalFormatting sqref="K68:L68">
    <cfRule type="expression" dxfId="296" priority="812" stopIfTrue="1">
      <formula>AND(B59="Cat 3",R9=2)</formula>
    </cfRule>
  </conditionalFormatting>
  <conditionalFormatting sqref="K69:L69">
    <cfRule type="expression" dxfId="295" priority="817" stopIfTrue="1">
      <formula>AND(B59="Cat 3",R9=3)</formula>
    </cfRule>
  </conditionalFormatting>
  <conditionalFormatting sqref="K70:L70">
    <cfRule type="expression" dxfId="294" priority="840" stopIfTrue="1">
      <formula>AND(B59="Cat 3",R9=4)</formula>
    </cfRule>
  </conditionalFormatting>
  <conditionalFormatting sqref="K71:L71">
    <cfRule type="expression" dxfId="293" priority="845" stopIfTrue="1">
      <formula>AND(B59="Cat 3",R9=5)</formula>
    </cfRule>
  </conditionalFormatting>
  <conditionalFormatting sqref="K72:L72">
    <cfRule type="expression" dxfId="292" priority="868" stopIfTrue="1">
      <formula>AND(B59="Cat 3",R9=6)</formula>
    </cfRule>
  </conditionalFormatting>
  <conditionalFormatting sqref="K73:L73">
    <cfRule type="expression" dxfId="291" priority="873" stopIfTrue="1">
      <formula>AND(B59="Cat 3",R9=7)</formula>
    </cfRule>
  </conditionalFormatting>
  <conditionalFormatting sqref="K74:L74">
    <cfRule type="expression" dxfId="290" priority="896" stopIfTrue="1">
      <formula>AND(B59="Cat 3",R9=8)</formula>
    </cfRule>
  </conditionalFormatting>
  <conditionalFormatting sqref="K76:L76">
    <cfRule type="expression" dxfId="289" priority="909" stopIfTrue="1">
      <formula>AND(B59="Cat 3",R9&gt;8)</formula>
    </cfRule>
  </conditionalFormatting>
  <conditionalFormatting sqref="M67">
    <cfRule type="expression" dxfId="288" priority="790" stopIfTrue="1">
      <formula>AND(B59="Cat 4",R9=1)</formula>
    </cfRule>
  </conditionalFormatting>
  <conditionalFormatting sqref="M68">
    <cfRule type="expression" dxfId="287" priority="811" stopIfTrue="1">
      <formula>AND(B59="Cat 4",R9=2)</formula>
    </cfRule>
  </conditionalFormatting>
  <conditionalFormatting sqref="M69">
    <cfRule type="expression" dxfId="286" priority="818" stopIfTrue="1">
      <formula>AND(B59="Cat 4",R9=3)</formula>
    </cfRule>
  </conditionalFormatting>
  <conditionalFormatting sqref="M70">
    <cfRule type="expression" dxfId="285" priority="839" stopIfTrue="1">
      <formula>AND(B59="Cat 4",R9=4)</formula>
    </cfRule>
  </conditionalFormatting>
  <conditionalFormatting sqref="M71">
    <cfRule type="expression" dxfId="284" priority="846" stopIfTrue="1">
      <formula>AND(B59="Cat 4",R9=5)</formula>
    </cfRule>
  </conditionalFormatting>
  <conditionalFormatting sqref="M72">
    <cfRule type="expression" dxfId="283" priority="867" stopIfTrue="1">
      <formula>AND(B59="Cat 4",R9=6)</formula>
    </cfRule>
  </conditionalFormatting>
  <conditionalFormatting sqref="M73">
    <cfRule type="expression" dxfId="282" priority="874" stopIfTrue="1">
      <formula>AND(B59="Cat 4",R9=7)</formula>
    </cfRule>
  </conditionalFormatting>
  <conditionalFormatting sqref="M74">
    <cfRule type="expression" dxfId="281" priority="895" stopIfTrue="1">
      <formula>AND(B59="Cat 4",R9=8)</formula>
    </cfRule>
  </conditionalFormatting>
  <conditionalFormatting sqref="M76">
    <cfRule type="expression" dxfId="280" priority="910" stopIfTrue="1">
      <formula>AND(B59="Cat 4",R9&gt;8)</formula>
    </cfRule>
  </conditionalFormatting>
  <conditionalFormatting sqref="N67">
    <cfRule type="expression" dxfId="279" priority="791" stopIfTrue="1">
      <formula>AND(B59="Cat 4",R9=1)</formula>
    </cfRule>
  </conditionalFormatting>
  <conditionalFormatting sqref="N68">
    <cfRule type="expression" dxfId="278" priority="810" stopIfTrue="1">
      <formula>AND(B59="Cat 4",R9=2)</formula>
    </cfRule>
  </conditionalFormatting>
  <conditionalFormatting sqref="N69">
    <cfRule type="expression" dxfId="277" priority="819" stopIfTrue="1">
      <formula>AND(B59="Cat 4",R9=3)</formula>
    </cfRule>
  </conditionalFormatting>
  <conditionalFormatting sqref="N70">
    <cfRule type="expression" dxfId="276" priority="838" stopIfTrue="1">
      <formula>AND(B59="Cat 4",R9=4)</formula>
    </cfRule>
  </conditionalFormatting>
  <conditionalFormatting sqref="N71">
    <cfRule type="expression" dxfId="275" priority="847" stopIfTrue="1">
      <formula>AND(B59="Cat 4",R9=5)</formula>
    </cfRule>
  </conditionalFormatting>
  <conditionalFormatting sqref="N72">
    <cfRule type="expression" dxfId="274" priority="866" stopIfTrue="1">
      <formula>AND(B59="Cat 4",R9=6)</formula>
    </cfRule>
  </conditionalFormatting>
  <conditionalFormatting sqref="N73">
    <cfRule type="expression" dxfId="273" priority="875" stopIfTrue="1">
      <formula>AND(B59="Cat 4",R9=7)</formula>
    </cfRule>
  </conditionalFormatting>
  <conditionalFormatting sqref="N74">
    <cfRule type="expression" dxfId="272" priority="894" stopIfTrue="1">
      <formula>AND(B59="Cat 4",R9=8)</formula>
    </cfRule>
  </conditionalFormatting>
  <conditionalFormatting sqref="N76">
    <cfRule type="expression" dxfId="271" priority="911" stopIfTrue="1">
      <formula>AND(B59="Cat 4",R9&gt;8)</formula>
    </cfRule>
  </conditionalFormatting>
  <conditionalFormatting sqref="O67">
    <cfRule type="expression" dxfId="270" priority="792" stopIfTrue="1">
      <formula>AND(B59="Cat 4",R9=1)</formula>
    </cfRule>
  </conditionalFormatting>
  <conditionalFormatting sqref="O68">
    <cfRule type="expression" dxfId="269" priority="809" stopIfTrue="1">
      <formula>AND(B59="Cat 4",R9=2)</formula>
    </cfRule>
  </conditionalFormatting>
  <conditionalFormatting sqref="O69">
    <cfRule type="expression" dxfId="268" priority="820" stopIfTrue="1">
      <formula>AND(B59="Cat 4",R9=3)</formula>
    </cfRule>
  </conditionalFormatting>
  <conditionalFormatting sqref="O70">
    <cfRule type="expression" dxfId="267" priority="837" stopIfTrue="1">
      <formula>AND(B59="Cat 4",R9=4)</formula>
    </cfRule>
  </conditionalFormatting>
  <conditionalFormatting sqref="O71">
    <cfRule type="expression" dxfId="266" priority="848" stopIfTrue="1">
      <formula>AND(B59="Cat 4",R9=5)</formula>
    </cfRule>
  </conditionalFormatting>
  <conditionalFormatting sqref="O72">
    <cfRule type="expression" dxfId="265" priority="865" stopIfTrue="1">
      <formula>AND(B59="Cat 4",R9=6)</formula>
    </cfRule>
  </conditionalFormatting>
  <conditionalFormatting sqref="O73">
    <cfRule type="expression" dxfId="264" priority="876" stopIfTrue="1">
      <formula>AND(B59="Cat 4",R9=7)</formula>
    </cfRule>
  </conditionalFormatting>
  <conditionalFormatting sqref="O74">
    <cfRule type="expression" dxfId="263" priority="893" stopIfTrue="1">
      <formula>AND(B59="Cat 4",R9=8)</formula>
    </cfRule>
  </conditionalFormatting>
  <conditionalFormatting sqref="O76">
    <cfRule type="expression" dxfId="262" priority="912" stopIfTrue="1">
      <formula>AND(B59="Cat 4",R9&gt;8)</formula>
    </cfRule>
  </conditionalFormatting>
  <conditionalFormatting sqref="P67">
    <cfRule type="expression" dxfId="261" priority="793" stopIfTrue="1">
      <formula>AND(B59="Cat 5",R9=1)</formula>
    </cfRule>
  </conditionalFormatting>
  <conditionalFormatting sqref="P68">
    <cfRule type="expression" dxfId="260" priority="808" stopIfTrue="1">
      <formula>AND(B59="Cat 5",R9=2)</formula>
    </cfRule>
  </conditionalFormatting>
  <conditionalFormatting sqref="P69">
    <cfRule type="expression" dxfId="259" priority="821" stopIfTrue="1">
      <formula>AND(B59="Cat 5",R9=3)</formula>
    </cfRule>
  </conditionalFormatting>
  <conditionalFormatting sqref="P70">
    <cfRule type="expression" dxfId="258" priority="836" stopIfTrue="1">
      <formula>AND(B59="Cat 5",R9=4)</formula>
    </cfRule>
  </conditionalFormatting>
  <conditionalFormatting sqref="P71">
    <cfRule type="expression" dxfId="257" priority="849" stopIfTrue="1">
      <formula>AND(B59="Cat 5",R9=5)</formula>
    </cfRule>
  </conditionalFormatting>
  <conditionalFormatting sqref="P72">
    <cfRule type="expression" dxfId="256" priority="864" stopIfTrue="1">
      <formula>AND(B59="Cat 5",R9=6)</formula>
    </cfRule>
  </conditionalFormatting>
  <conditionalFormatting sqref="P73">
    <cfRule type="expression" dxfId="255" priority="877" stopIfTrue="1">
      <formula>AND(B59="Cat 5",R9=7)</formula>
    </cfRule>
  </conditionalFormatting>
  <conditionalFormatting sqref="P74">
    <cfRule type="expression" dxfId="254" priority="892" stopIfTrue="1">
      <formula>AND(B59="Cat 5",R9=8)</formula>
    </cfRule>
  </conditionalFormatting>
  <conditionalFormatting sqref="P76">
    <cfRule type="expression" dxfId="253" priority="913" stopIfTrue="1">
      <formula>AND(B59="Cat 5",R9&gt;8)</formula>
    </cfRule>
  </conditionalFormatting>
  <conditionalFormatting sqref="Q67">
    <cfRule type="expression" dxfId="252" priority="794" stopIfTrue="1">
      <formula>AND(B59="Cat 5",R9=1)</formula>
    </cfRule>
  </conditionalFormatting>
  <conditionalFormatting sqref="Q68">
    <cfRule type="expression" dxfId="251" priority="807" stopIfTrue="1">
      <formula>AND(B59="Cat 5",R9=2)</formula>
    </cfRule>
  </conditionalFormatting>
  <conditionalFormatting sqref="Q69">
    <cfRule type="expression" dxfId="250" priority="822" stopIfTrue="1">
      <formula>AND(B59="Cat 5",R9=3)</formula>
    </cfRule>
  </conditionalFormatting>
  <conditionalFormatting sqref="Q70">
    <cfRule type="expression" dxfId="249" priority="835" stopIfTrue="1">
      <formula>AND(B59="Cat 5",R9=4)</formula>
    </cfRule>
  </conditionalFormatting>
  <conditionalFormatting sqref="Q71">
    <cfRule type="expression" dxfId="248" priority="850" stopIfTrue="1">
      <formula>AND(B59="Cat 5",R9=5)</formula>
    </cfRule>
  </conditionalFormatting>
  <conditionalFormatting sqref="Q72">
    <cfRule type="expression" dxfId="247" priority="863" stopIfTrue="1">
      <formula>AND(B59="Cat 5",R9=6)</formula>
    </cfRule>
  </conditionalFormatting>
  <conditionalFormatting sqref="Q73">
    <cfRule type="expression" dxfId="246" priority="878" stopIfTrue="1">
      <formula>AND(B59="Cat 5",R9=7)</formula>
    </cfRule>
  </conditionalFormatting>
  <conditionalFormatting sqref="Q74">
    <cfRule type="expression" dxfId="245" priority="891" stopIfTrue="1">
      <formula>AND(B59="Cat 5",R9=8)</formula>
    </cfRule>
  </conditionalFormatting>
  <conditionalFormatting sqref="Q76">
    <cfRule type="expression" dxfId="244" priority="914" stopIfTrue="1">
      <formula>AND(B59="Cat 5",R9&gt;8)</formula>
    </cfRule>
  </conditionalFormatting>
  <conditionalFormatting sqref="R67">
    <cfRule type="expression" dxfId="243" priority="795" stopIfTrue="1">
      <formula>AND(B59="Cat 5",R9=1)</formula>
    </cfRule>
  </conditionalFormatting>
  <conditionalFormatting sqref="R68">
    <cfRule type="expression" dxfId="242" priority="806" stopIfTrue="1">
      <formula>AND(B59="Cat 5",R9=2)</formula>
    </cfRule>
  </conditionalFormatting>
  <conditionalFormatting sqref="R69">
    <cfRule type="expression" dxfId="241" priority="823" stopIfTrue="1">
      <formula>AND(B59="Cat 5",R9=3)</formula>
    </cfRule>
  </conditionalFormatting>
  <conditionalFormatting sqref="R70">
    <cfRule type="expression" dxfId="240" priority="834" stopIfTrue="1">
      <formula>AND(B59="Cat 5",R9=4)</formula>
    </cfRule>
  </conditionalFormatting>
  <conditionalFormatting sqref="R71">
    <cfRule type="expression" dxfId="239" priority="851" stopIfTrue="1">
      <formula>AND(B59="Cat 5",R9=5)</formula>
    </cfRule>
  </conditionalFormatting>
  <conditionalFormatting sqref="R72">
    <cfRule type="expression" dxfId="238" priority="862" stopIfTrue="1">
      <formula>AND(B59="Cat 5",R9=6)</formula>
    </cfRule>
  </conditionalFormatting>
  <conditionalFormatting sqref="R73">
    <cfRule type="expression" dxfId="237" priority="879" stopIfTrue="1">
      <formula>AND(B59="Cat 5",R9=7)</formula>
    </cfRule>
  </conditionalFormatting>
  <conditionalFormatting sqref="R74">
    <cfRule type="expression" dxfId="236" priority="890" stopIfTrue="1">
      <formula>AND(B59="Cat 5",R9=8)</formula>
    </cfRule>
  </conditionalFormatting>
  <conditionalFormatting sqref="R76">
    <cfRule type="expression" dxfId="235" priority="915" stopIfTrue="1">
      <formula>AND(B59="Cat 5",R9&gt;8)</formula>
    </cfRule>
  </conditionalFormatting>
  <conditionalFormatting sqref="S67">
    <cfRule type="expression" dxfId="234" priority="796" stopIfTrue="1">
      <formula>AND(B59="Cat 6",R9=1)</formula>
    </cfRule>
  </conditionalFormatting>
  <conditionalFormatting sqref="S68">
    <cfRule type="expression" dxfId="233" priority="805" stopIfTrue="1">
      <formula>AND(B59="Cat 6",R9=2)</formula>
    </cfRule>
  </conditionalFormatting>
  <conditionalFormatting sqref="S69">
    <cfRule type="expression" dxfId="232" priority="824" stopIfTrue="1">
      <formula>AND(B59="Cat 6",R9=3)</formula>
    </cfRule>
  </conditionalFormatting>
  <conditionalFormatting sqref="S70">
    <cfRule type="expression" dxfId="231" priority="833" stopIfTrue="1">
      <formula>AND(B59="Cat 6",R9=4)</formula>
    </cfRule>
  </conditionalFormatting>
  <conditionalFormatting sqref="S71">
    <cfRule type="expression" dxfId="230" priority="852" stopIfTrue="1">
      <formula>AND(B59="Cat 6",R9=5)</formula>
    </cfRule>
  </conditionalFormatting>
  <conditionalFormatting sqref="S72">
    <cfRule type="expression" dxfId="229" priority="861" stopIfTrue="1">
      <formula>AND(B59="Cat 6",R9=6)</formula>
    </cfRule>
  </conditionalFormatting>
  <conditionalFormatting sqref="S73">
    <cfRule type="expression" dxfId="228" priority="880" stopIfTrue="1">
      <formula>AND(B59="Cat 6",R9=7)</formula>
    </cfRule>
  </conditionalFormatting>
  <conditionalFormatting sqref="S74">
    <cfRule type="expression" dxfId="227" priority="889" stopIfTrue="1">
      <formula>AND(B59="Cat 6",R9=8)</formula>
    </cfRule>
  </conditionalFormatting>
  <conditionalFormatting sqref="S76">
    <cfRule type="expression" dxfId="226" priority="916" stopIfTrue="1">
      <formula>AND(B59="Cat 6",R9&gt;8)</formula>
    </cfRule>
  </conditionalFormatting>
  <conditionalFormatting sqref="T67">
    <cfRule type="expression" dxfId="225" priority="797" stopIfTrue="1">
      <formula>AND(B59="Cat 6",R9=1)</formula>
    </cfRule>
  </conditionalFormatting>
  <conditionalFormatting sqref="T68">
    <cfRule type="expression" dxfId="224" priority="804" stopIfTrue="1">
      <formula>AND(B59="Cat 6",R9=2)</formula>
    </cfRule>
  </conditionalFormatting>
  <conditionalFormatting sqref="T69">
    <cfRule type="expression" dxfId="223" priority="825" stopIfTrue="1">
      <formula>AND(B59="Cat 6",R9=3)</formula>
    </cfRule>
  </conditionalFormatting>
  <conditionalFormatting sqref="T70">
    <cfRule type="expression" dxfId="222" priority="832" stopIfTrue="1">
      <formula>AND(B59="Cat 6",R9=4)</formula>
    </cfRule>
  </conditionalFormatting>
  <conditionalFormatting sqref="T71">
    <cfRule type="expression" dxfId="221" priority="853" stopIfTrue="1">
      <formula>AND(B59="Cat 6",R9=5)</formula>
    </cfRule>
  </conditionalFormatting>
  <conditionalFormatting sqref="T72">
    <cfRule type="expression" dxfId="220" priority="860" stopIfTrue="1">
      <formula>AND(B59="Cat 6",R9=6)</formula>
    </cfRule>
  </conditionalFormatting>
  <conditionalFormatting sqref="T73">
    <cfRule type="expression" dxfId="219" priority="881" stopIfTrue="1">
      <formula>AND(B59="Cat 6",R9=7)</formula>
    </cfRule>
  </conditionalFormatting>
  <conditionalFormatting sqref="T74">
    <cfRule type="expression" dxfId="218" priority="888" stopIfTrue="1">
      <formula>AND(B59="Cat 6",R9=8)</formula>
    </cfRule>
  </conditionalFormatting>
  <conditionalFormatting sqref="T76">
    <cfRule type="expression" dxfId="217" priority="917" stopIfTrue="1">
      <formula>AND(B59="Cat 6",R9&gt;8)</formula>
    </cfRule>
  </conditionalFormatting>
  <conditionalFormatting sqref="U67">
    <cfRule type="expression" dxfId="216" priority="798" stopIfTrue="1">
      <formula>AND(B59="Cat 6",R9=1)</formula>
    </cfRule>
  </conditionalFormatting>
  <conditionalFormatting sqref="U68">
    <cfRule type="expression" dxfId="215" priority="803" stopIfTrue="1">
      <formula>AND(B59="Cat 6",R9=2)</formula>
    </cfRule>
  </conditionalFormatting>
  <conditionalFormatting sqref="U69">
    <cfRule type="expression" dxfId="214" priority="826" stopIfTrue="1">
      <formula>AND(B59="Cat 6",R9=3)</formula>
    </cfRule>
  </conditionalFormatting>
  <conditionalFormatting sqref="U70">
    <cfRule type="expression" dxfId="213" priority="831" stopIfTrue="1">
      <formula>AND(B59="Cat 6",R9=4)</formula>
    </cfRule>
  </conditionalFormatting>
  <conditionalFormatting sqref="U71">
    <cfRule type="expression" dxfId="212" priority="854" stopIfTrue="1">
      <formula>AND(B59="Cat 6",R9=5)</formula>
    </cfRule>
  </conditionalFormatting>
  <conditionalFormatting sqref="U72">
    <cfRule type="expression" dxfId="211" priority="859" stopIfTrue="1">
      <formula>AND(B59="Cat 6",R9=6)</formula>
    </cfRule>
  </conditionalFormatting>
  <conditionalFormatting sqref="U73">
    <cfRule type="expression" dxfId="210" priority="882" stopIfTrue="1">
      <formula>AND(B59="Cat 6",R9=7)</formula>
    </cfRule>
  </conditionalFormatting>
  <conditionalFormatting sqref="U74">
    <cfRule type="expression" dxfId="209" priority="887" stopIfTrue="1">
      <formula>AND(B59="Cat 6",R9=8)</formula>
    </cfRule>
  </conditionalFormatting>
  <conditionalFormatting sqref="U76">
    <cfRule type="expression" dxfId="208" priority="918" stopIfTrue="1">
      <formula>AND(B59="Cat 6",R9&gt;8)</formula>
    </cfRule>
  </conditionalFormatting>
  <conditionalFormatting sqref="V67">
    <cfRule type="expression" dxfId="207" priority="799" stopIfTrue="1">
      <formula>AND(B59="N/A",R9=1)</formula>
    </cfRule>
  </conditionalFormatting>
  <conditionalFormatting sqref="V68">
    <cfRule type="expression" dxfId="206" priority="802" stopIfTrue="1">
      <formula>AND(B59="N/A",R9=2)</formula>
    </cfRule>
  </conditionalFormatting>
  <conditionalFormatting sqref="V69">
    <cfRule type="expression" dxfId="205" priority="827" stopIfTrue="1">
      <formula>AND(B59="N/A",R9=3)</formula>
    </cfRule>
  </conditionalFormatting>
  <conditionalFormatting sqref="V70">
    <cfRule type="expression" dxfId="204" priority="830" stopIfTrue="1">
      <formula>AND(B59="N/A",R9=4)</formula>
    </cfRule>
  </conditionalFormatting>
  <conditionalFormatting sqref="V71">
    <cfRule type="expression" dxfId="203" priority="855" stopIfTrue="1">
      <formula>AND(B59="N/A",R9=5)</formula>
    </cfRule>
  </conditionalFormatting>
  <conditionalFormatting sqref="V72">
    <cfRule type="expression" dxfId="202" priority="858" stopIfTrue="1">
      <formula>AND(B59="N/A",R9=6)</formula>
    </cfRule>
  </conditionalFormatting>
  <conditionalFormatting sqref="V73">
    <cfRule type="expression" dxfId="201" priority="883" stopIfTrue="1">
      <formula>AND(B59="N/A",R9=7)</formula>
    </cfRule>
  </conditionalFormatting>
  <conditionalFormatting sqref="V74">
    <cfRule type="expression" dxfId="200" priority="886" stopIfTrue="1">
      <formula>AND(B59="N/A",R9=8)</formula>
    </cfRule>
  </conditionalFormatting>
  <conditionalFormatting sqref="V76">
    <cfRule type="expression" dxfId="199" priority="899" stopIfTrue="1">
      <formula>AND(B59="N/A",R9&gt;8)</formula>
    </cfRule>
  </conditionalFormatting>
  <conditionalFormatting sqref="W67">
    <cfRule type="expression" dxfId="198" priority="800" stopIfTrue="1">
      <formula>AND(B59="N/A",R9=1)</formula>
    </cfRule>
  </conditionalFormatting>
  <conditionalFormatting sqref="W68">
    <cfRule type="expression" dxfId="197" priority="801" stopIfTrue="1">
      <formula>AND(B59="N/A",R9=2)</formula>
    </cfRule>
  </conditionalFormatting>
  <conditionalFormatting sqref="W69">
    <cfRule type="expression" dxfId="196" priority="828" stopIfTrue="1">
      <formula>AND(B59="N/A",R9=3)</formula>
    </cfRule>
  </conditionalFormatting>
  <conditionalFormatting sqref="W70">
    <cfRule type="expression" dxfId="195" priority="829" stopIfTrue="1">
      <formula>AND(B59="N/A",R9=4)</formula>
    </cfRule>
  </conditionalFormatting>
  <conditionalFormatting sqref="W71">
    <cfRule type="expression" dxfId="194" priority="856" stopIfTrue="1">
      <formula>AND(B59="N/A",R9=5)</formula>
    </cfRule>
  </conditionalFormatting>
  <conditionalFormatting sqref="W72">
    <cfRule type="expression" dxfId="193" priority="857" stopIfTrue="1">
      <formula>AND(B59="N/A",R9=6)</formula>
    </cfRule>
  </conditionalFormatting>
  <conditionalFormatting sqref="W73">
    <cfRule type="expression" dxfId="192" priority="884" stopIfTrue="1">
      <formula>AND(B59="N/A",R9=7)</formula>
    </cfRule>
  </conditionalFormatting>
  <conditionalFormatting sqref="W74">
    <cfRule type="expression" dxfId="191" priority="885" stopIfTrue="1">
      <formula>AND(B59="N/A",R9=8)</formula>
    </cfRule>
  </conditionalFormatting>
  <conditionalFormatting sqref="W76">
    <cfRule type="expression" dxfId="190" priority="900" stopIfTrue="1">
      <formula>AND(B59="N/A",R9&gt;8)</formula>
    </cfRule>
  </conditionalFormatting>
  <pageMargins left="0.5" right="0.5" top="0.5" bottom="0.5" header="0.3" footer="0.3"/>
  <pageSetup scale="82" fitToHeight="0" orientation="landscape" horizontalDpi="300" verticalDpi="300" r:id="rId1"/>
  <headerFooter alignWithMargins="0">
    <oddHeader>&amp;L&amp;F&amp;R&amp;A</oddHeader>
  </headerFooter>
  <rowBreaks count="1" manualBreakCount="1">
    <brk id="42" max="16383" man="1"/>
  </rowBreaks>
  <colBreaks count="1" manualBreakCount="1">
    <brk id="29"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M76"/>
  <sheetViews>
    <sheetView zoomScaleNormal="100" workbookViewId="0">
      <selection sqref="A1:D1"/>
    </sheetView>
  </sheetViews>
  <sheetFormatPr defaultColWidth="9.1796875" defaultRowHeight="12.5" x14ac:dyDescent="0.25"/>
  <cols>
    <col min="1" max="1" width="21.54296875" style="1" customWidth="1"/>
    <col min="2" max="2" width="5.81640625" style="1" customWidth="1"/>
    <col min="3" max="3" width="1.26953125" style="1" customWidth="1"/>
    <col min="4" max="4" width="6.81640625" style="1" customWidth="1"/>
    <col min="5" max="5" width="2.1796875" style="1" customWidth="1"/>
    <col min="6" max="6" width="9.1796875" style="1" customWidth="1"/>
    <col min="7" max="7" width="1.26953125" style="1" customWidth="1"/>
    <col min="8" max="8" width="11.1796875" style="1" customWidth="1"/>
    <col min="9" max="9" width="8.81640625" style="1" customWidth="1"/>
    <col min="10" max="10" width="1.453125" style="1" customWidth="1"/>
    <col min="11" max="11" width="7.26953125" style="1" customWidth="1"/>
    <col min="12" max="12" width="1.7265625" style="1" customWidth="1"/>
    <col min="13" max="13" width="8.54296875" style="1" customWidth="1"/>
    <col min="14" max="14" width="1.7265625" style="1" customWidth="1"/>
    <col min="15" max="15" width="9.453125" style="1" customWidth="1"/>
    <col min="16" max="16" width="8.81640625" style="1" customWidth="1"/>
    <col min="17" max="17" width="2.26953125" style="1" customWidth="1"/>
    <col min="18" max="18" width="9.54296875" style="1" customWidth="1"/>
    <col min="19" max="19" width="9.453125" style="1" customWidth="1"/>
    <col min="20" max="20" width="1.81640625" style="1" customWidth="1"/>
    <col min="21" max="21" width="9.453125" style="1" customWidth="1"/>
    <col min="22" max="22" width="3.1796875" style="1" customWidth="1"/>
    <col min="23" max="23" width="10.453125" style="1" customWidth="1"/>
    <col min="24" max="26" width="12.7265625" style="1" customWidth="1"/>
    <col min="27" max="27" width="10.453125" style="1" customWidth="1"/>
    <col min="28" max="28" width="16.1796875" style="1" customWidth="1"/>
    <col min="29" max="30" width="12.7265625" style="1" customWidth="1"/>
    <col min="31" max="32" width="9.1796875" style="1" hidden="1" customWidth="1"/>
    <col min="33" max="33" width="11.81640625" style="1" hidden="1" customWidth="1"/>
    <col min="34" max="34" width="15.7265625" style="1" hidden="1" customWidth="1"/>
    <col min="35" max="35" width="13.54296875" style="1" hidden="1" customWidth="1"/>
    <col min="36" max="36" width="6.81640625" style="1" hidden="1" customWidth="1"/>
    <col min="37" max="37" width="12.7265625" style="1" hidden="1" customWidth="1"/>
    <col min="38" max="39" width="9.1796875" style="1" hidden="1" customWidth="1"/>
    <col min="40" max="40" width="13.81640625" style="1" customWidth="1"/>
    <col min="41" max="41" width="9.1796875" style="1" customWidth="1"/>
    <col min="42" max="16384" width="9.1796875" style="1"/>
  </cols>
  <sheetData>
    <row r="1" spans="1:39" ht="30.75" customHeight="1" thickBot="1" x14ac:dyDescent="0.3">
      <c r="A1" s="387" t="str">
        <f>IF(AND(Eligibility!H1="",Eligibility!A1=""),"No Name Please Fill Out Eligibility Tab",IF(NOT(Eligibility!A1=""),Eligibility!A1,""))</f>
        <v>No Name Please Fill Out Eligibility Tab</v>
      </c>
      <c r="B1" s="388"/>
      <c r="C1" s="389"/>
      <c r="D1" s="389"/>
      <c r="H1" s="390" t="str">
        <f>IF(AND(Eligibility!H1="",Eligibility!A1=""),"No Case # Please Fill Out Eligibility Tab",IF(NOT(Eligibility!H1=""),Eligibility!H1,""))</f>
        <v>No Case # Please Fill Out Eligibility Tab</v>
      </c>
      <c r="I1" s="390"/>
      <c r="J1" s="390"/>
      <c r="K1" s="390"/>
      <c r="O1" s="387" t="str">
        <f>IF(Eligibility!O1="","Please Enter Agency Initials on Eligibility tab",Eligibility!O1)</f>
        <v>Please Enter Agency Initials on Eligibility tab</v>
      </c>
      <c r="P1" s="388"/>
      <c r="S1" s="375">
        <f ca="1">TODAY()</f>
        <v>45692</v>
      </c>
      <c r="T1" s="376"/>
      <c r="U1" s="376"/>
      <c r="AE1" s="6" t="s">
        <v>26</v>
      </c>
      <c r="AF1" s="1" t="str">
        <f>IF(AG1="Cat 6","ADAP and MCM ONLY",AG1)</f>
        <v>&gt;400%, MCM ONLY</v>
      </c>
      <c r="AG1" s="1" t="str">
        <f>IF(AND(AI1=FALSE,AI2=FALSE),"&gt;400%, MCM ONLY",IF(AND(OR(NOT(AI2="Cat 6"),NOT(AI2=FALSE)),AI1=FALSE),AI2,IF(AND(OR(NOT(AI1="Cat 6"),NOT(AI1=FALSE)),AI2=FALSE),AI1,IF(OR(AI1="Cat 6",AI2="Cat 6"),"ADAP and MCM ONLY"))))</f>
        <v>&gt;400%, MCM ONLY</v>
      </c>
      <c r="AH1" s="13" t="s">
        <v>4</v>
      </c>
      <c r="AI1" s="1" t="b">
        <f>IF(NOT(AL2=FALSE()),AL2,IF(NOT(AL3=FALSE()),AL3,IF(NOT(AL4=FALSE()),AL4,IF(NOT(AL5=FALSE()),AL5,IF(NOT(AL6=FALSE()),AL6,IF(NOT(AL7=FALSE()),AL7,AL8))))))</f>
        <v>0</v>
      </c>
      <c r="AK1" s="1" t="s">
        <v>0</v>
      </c>
      <c r="AL1" s="1" t="s">
        <v>2</v>
      </c>
      <c r="AM1" s="1" t="s">
        <v>3</v>
      </c>
    </row>
    <row r="2" spans="1:39" ht="13" thickTop="1" x14ac:dyDescent="0.25">
      <c r="A2" s="320" t="s">
        <v>16</v>
      </c>
      <c r="B2" s="320"/>
      <c r="C2" s="320"/>
      <c r="D2" s="320"/>
      <c r="H2" s="320" t="s">
        <v>17</v>
      </c>
      <c r="I2" s="320"/>
      <c r="J2" s="320"/>
      <c r="K2" s="320"/>
      <c r="O2" s="386" t="s">
        <v>224</v>
      </c>
      <c r="P2" s="385"/>
      <c r="S2" s="320" t="s">
        <v>18</v>
      </c>
      <c r="T2" s="377"/>
      <c r="U2" s="377"/>
      <c r="AH2" s="4" t="s">
        <v>5</v>
      </c>
      <c r="AI2" s="1" t="b">
        <f>IF(NOT(AL9=FALSE()),AL9,IF(R5&gt;8,AL10,FALSE()))</f>
        <v>0</v>
      </c>
      <c r="AK2" s="1">
        <v>1</v>
      </c>
      <c r="AL2" s="2" t="b">
        <f>IF(AND(R5=1,B24&lt;=D60),"Cat "&amp;B58,IF(AND(R5=1,B24&lt;=H60),"Cat "&amp;F58,IF(AND(R5=1,B24&lt;=K60),"Cat "&amp;I58,IF(AND(R5=1,B24&lt;=O60),"Cat "&amp;M58,IF(AND(R5=1,B24&lt;=R60),"Cat "&amp;P58,IF(AND(R5=1,B24&lt;=U60),"Cat "&amp;S58))))))</f>
        <v>0</v>
      </c>
      <c r="AM2" s="1" t="b">
        <f>IF(AND(R5=1,B46&lt;=D60),"Cat "&amp;B58,IF(AND(R5=1,B46&lt;=H60),"Cat "&amp;F58,IF(AND(R5=1,B46&lt;=K60),"Cat "&amp;I58,IF(AND(R5=1,B46&lt;=O60),"Cat "&amp;M58,IF(AND(R5=1,B46&lt;=R60),"Cat "&amp;P58,IF(AND(R5=1,B46&lt;=U60),"Cat "&amp;S58))))))</f>
        <v>0</v>
      </c>
    </row>
    <row r="3" spans="1:39" ht="5.25" customHeight="1" thickBot="1" x14ac:dyDescent="0.3">
      <c r="A3" s="10"/>
      <c r="B3" s="10"/>
      <c r="C3" s="10"/>
      <c r="D3" s="41"/>
      <c r="H3" s="10"/>
      <c r="I3" s="10"/>
      <c r="J3" s="10"/>
      <c r="K3" s="41"/>
      <c r="R3" s="10"/>
      <c r="S3" s="10"/>
      <c r="T3" s="10"/>
      <c r="AH3" s="4"/>
      <c r="AK3" s="1">
        <v>2</v>
      </c>
      <c r="AL3" s="10" t="b">
        <f>IF(AND(R5=2,B24&lt;=D61),"Cat "&amp;B58,IF(AND(R5=2,B24&lt;=H61),"Cat "&amp;F58,IF(AND(R5=2,B24&lt;=K61),"Cat "&amp;I58,IF(AND(R5=2,B24&lt;=O61),"Cat "&amp;M58,IF(AND(R5=2,B24&lt;=R61),"Cat "&amp;P58,IF(AND(R5=2,B24&lt;=U61),"Cat "&amp;S58))))))</f>
        <v>0</v>
      </c>
      <c r="AM3" s="1" t="b">
        <f>IF(AND(R5=2,B46&lt;=D61),"Cat "&amp;B58,IF(AND(R5=2,B46&lt;=H61),"Cat "&amp;F58,IF(AND(R5=2,B46&lt;=K61),"Cat "&amp;I58,IF(AND(R5=2,B46&lt;=O61),"Cat "&amp;M58,IF(AND(R5=2,B46&lt;=R61),"Cat "&amp;P58,IF(AND(R5=2,B46&lt;=U61),"Cat "&amp;S58))))))</f>
        <v>0</v>
      </c>
    </row>
    <row r="4" spans="1:39" ht="6.75" customHeight="1" thickTop="1" x14ac:dyDescent="0.25">
      <c r="A4" s="14"/>
      <c r="B4" s="55"/>
      <c r="C4" s="55"/>
      <c r="D4" s="15"/>
      <c r="E4" s="15"/>
      <c r="F4" s="15"/>
      <c r="G4" s="15"/>
      <c r="H4" s="15"/>
      <c r="I4" s="15"/>
      <c r="J4" s="15"/>
      <c r="K4" s="15"/>
      <c r="L4" s="15"/>
      <c r="M4" s="15"/>
      <c r="N4" s="15"/>
      <c r="O4" s="28"/>
      <c r="P4" s="28"/>
      <c r="Q4" s="28"/>
      <c r="R4" s="15"/>
      <c r="S4" s="15"/>
      <c r="T4" s="15"/>
      <c r="U4" s="33"/>
      <c r="AE4" s="6" t="s">
        <v>20</v>
      </c>
      <c r="AF4" s="1" t="str">
        <f>IF(AG4="Cat 6","ADAP and MCM ONLY",AG4)</f>
        <v>INCOME EXCEEDED</v>
      </c>
      <c r="AG4" s="1" t="str">
        <f>IF(AND(AI4=FALSE,AI5=FALSE),"INCOME EXCEEDED",IF(AI4=FALSE,AI5,AI4))</f>
        <v>INCOME EXCEEDED</v>
      </c>
      <c r="AH4" s="4" t="s">
        <v>4</v>
      </c>
      <c r="AI4" s="1" t="b">
        <f>IF(NOT(AM2=FALSE()),AM2,IF(NOT(AM3=FALSE()),AM3,IF(NOT(AM4=FALSE()),AM4,IF(NOT(AM5=FALSE()),AM5,IF(NOT(AM6=FALSE()),AM6,IF(NOT(AM7=FALSE()),AM7,AM8))))))</f>
        <v>0</v>
      </c>
      <c r="AK4" s="1">
        <v>3</v>
      </c>
      <c r="AL4" s="2" t="b">
        <f>IF(AND(R5=3,B24&lt;=D62),"Cat "&amp;B58,IF(AND(R5=3,B24&lt;=H62),"Cat "&amp;F58,IF(AND(R5=3,B24&lt;=K62),"Cat "&amp;I58,IF(AND(R5=3,B24&lt;=O62),"Cat "&amp;M58,IF(AND(R5=3,B24&lt;=R62),"Cat "&amp;P58,IF(AND(R5=3,B24&lt;=U62),"Cat "&amp;S58))))))</f>
        <v>0</v>
      </c>
      <c r="AM4" s="3" t="b">
        <f>IF(AND(R5=3,B46&lt;=D62),"Cat "&amp;B58,IF(AND(R5=3,B46&lt;=H62),"Cat "&amp;F58,IF(AND(R5=3,B46&lt;=K62),"Cat "&amp;I58,IF(AND(R5=3,B46&lt;=O62),"Cat "&amp;M58,IF(AND(R5=3,B46&lt;=R62),"Cat "&amp;P58,IF(AND(R5=3,B46&lt;=U62),"Cat "&amp;S58))))))</f>
        <v>0</v>
      </c>
    </row>
    <row r="5" spans="1:39" ht="25.5" customHeight="1" x14ac:dyDescent="0.25">
      <c r="A5" s="34" t="s">
        <v>233</v>
      </c>
      <c r="B5" s="56"/>
      <c r="C5" s="56"/>
      <c r="D5" s="11"/>
      <c r="O5" s="378" t="s">
        <v>21</v>
      </c>
      <c r="P5" s="379"/>
      <c r="Q5" s="369"/>
      <c r="R5" s="95"/>
      <c r="S5" s="11"/>
      <c r="T5" s="11"/>
      <c r="U5" s="18"/>
      <c r="AH5" s="4" t="s">
        <v>5</v>
      </c>
      <c r="AI5" s="1" t="b">
        <f>IF(NOT(AM9=FALSE()),AM9,IF(R5&gt;8,AM10,FALSE()))</f>
        <v>0</v>
      </c>
      <c r="AK5" s="1">
        <v>4</v>
      </c>
      <c r="AL5" s="2" t="b">
        <f>IF(AND(R5=4,B24&lt;=D63),"Cat "&amp;B58,IF(AND(R5=4,B24&lt;=H63),"Cat "&amp;F58,IF(AND(R5=4,B24&lt;=K63),"Cat "&amp;I58,IF(AND(R5=4,B24&lt;=O63),"Cat "&amp;M58,IF(AND(R5=4,B24&lt;=R63),"Cat "&amp;P58,IF(AND(R5=4,B24&lt;=U63),"Cat "&amp;S58))))))</f>
        <v>0</v>
      </c>
      <c r="AM5" s="2" t="b">
        <f>IF(AND(R5=4,B46&lt;=D63),"Cat "&amp;B58,IF(AND(R5=4,B46&lt;=H63),"Cat "&amp;F58,IF(AND(R5=4,B46&lt;=K63),"Cat "&amp;I58,IF(AND(R5=4,B46&lt;=O63),"Cat "&amp;M58,IF(AND(R5=4,B46&lt;=R63),"Cat "&amp;P58,IF(AND(R5=4,B46&lt;=U63),"Cat "&amp;S58))))))</f>
        <v>0</v>
      </c>
    </row>
    <row r="6" spans="1:39" ht="5.25" customHeight="1" thickBot="1" x14ac:dyDescent="0.3">
      <c r="A6" s="29"/>
      <c r="B6" s="7"/>
      <c r="C6" s="7"/>
      <c r="D6" s="11"/>
      <c r="S6" s="12"/>
      <c r="T6" s="12"/>
      <c r="U6" s="60"/>
      <c r="AE6" s="6" t="s">
        <v>33</v>
      </c>
      <c r="AF6" s="6"/>
      <c r="AG6" s="6" t="str">
        <f>IF(OR(AF1="ADAP and MCM ONLY",AF1="INCOME EXCEEDED"),"N/A",IF(OR(AF1="Cat 1",AF1="Cat 2",AF1="Cat 3",AF1="Cat 4",AF1="Cat 5"),AF1,"N/A"))</f>
        <v>N/A</v>
      </c>
      <c r="AK6" s="1">
        <v>5</v>
      </c>
      <c r="AL6" s="2" t="b">
        <f>IF(AND(R5=5,B24&lt;=D64),"Cat "&amp;B58,IF(AND(R5=5,B24&lt;=H64),"Cat "&amp;F58,IF(AND(R5=5,B24&lt;=K64),"Cat "&amp;I58,IF(AND(R5=5,B24&lt;=O64),"Cat "&amp;M58,IF(AND(R5=5,B24&lt;=R64),"Cat "&amp;P58,IF(AND(R5=5,B24&lt;=U64),"Cat "&amp;S58))))))</f>
        <v>0</v>
      </c>
      <c r="AM6" s="2" t="b">
        <f>IF(AND(R5=5,B46&lt;=D64),"Cat "&amp;B58,IF(AND(R5=5,B46&lt;=H64),"Cat "&amp;F58,IF(AND(R5=5,B46&lt;=K64),"Cat "&amp;I58,IF(AND(R5=5,B46&lt;=O64),"Cat "&amp;M58,IF(AND(R5=5,B46&lt;=R64),"Cat "&amp;P58,IF(AND(R5=5,B46&lt;=U64),"Cat "&amp;S58))))))</f>
        <v>0</v>
      </c>
    </row>
    <row r="7" spans="1:39" ht="16.5" customHeight="1" thickBot="1" x14ac:dyDescent="0.3">
      <c r="A7" s="30" t="s">
        <v>19</v>
      </c>
      <c r="B7" s="322" t="s">
        <v>20</v>
      </c>
      <c r="C7" s="323"/>
      <c r="D7" s="323"/>
      <c r="E7" s="323"/>
      <c r="F7" s="325" t="s">
        <v>206</v>
      </c>
      <c r="G7" s="323"/>
      <c r="H7" s="323"/>
      <c r="I7" s="325" t="s">
        <v>207</v>
      </c>
      <c r="J7" s="323"/>
      <c r="K7" s="323"/>
      <c r="L7" s="323"/>
      <c r="M7" s="325" t="s">
        <v>208</v>
      </c>
      <c r="N7" s="323"/>
      <c r="O7" s="323"/>
      <c r="P7" s="325" t="s">
        <v>209</v>
      </c>
      <c r="Q7" s="323"/>
      <c r="R7" s="323"/>
      <c r="S7" s="370" t="s">
        <v>210</v>
      </c>
      <c r="T7" s="324"/>
      <c r="U7" s="371"/>
      <c r="AH7" s="1" t="s">
        <v>6</v>
      </c>
      <c r="AI7" s="2" t="b">
        <f>IF(B24&lt;B22,"ERROR",IF(AI4=FALSE(),AI5,AI4))</f>
        <v>0</v>
      </c>
      <c r="AK7" s="1">
        <v>6</v>
      </c>
      <c r="AL7" s="2" t="b">
        <f>IF(AND(R5=6,B24&lt;=D65),"Cat "&amp;B58,IF(AND(R5=6,B24&lt;=H65),"Cat "&amp;F58,IF(AND(R5=6,B24&lt;=K65),"Cat "&amp;I58,IF(AND(R5=6,B24&lt;=O65),"Cat "&amp;M58,IF(AND(R5=6,B24&lt;=R65),"Cat "&amp;P58,IF(AND(R5=6,B24&lt;=U65),"Cat "&amp;S58))))))</f>
        <v>0</v>
      </c>
      <c r="AM7" s="2" t="b">
        <f>IF(AND(R5=6,B46&lt;=D65),"Cat "&amp;B58,IF(AND(R5=6,B46&lt;=H65),"Cat "&amp;F58,IF(AND(R5=6,B46&lt;=K65),"Cat "&amp;I58,IF(AND(R5=6,B46&lt;=O65),"Cat "&amp;M58,IF(AND(R5=6,B46&lt;=R65),"Cat "&amp;P58,IF(AND(R5=6,B46&lt;=U65),"Cat "&amp;S58))))))</f>
        <v>0</v>
      </c>
    </row>
    <row r="8" spans="1:39" ht="15.75" customHeight="1" x14ac:dyDescent="0.25">
      <c r="A8" s="37"/>
      <c r="B8" s="324"/>
      <c r="C8" s="324"/>
      <c r="D8" s="324"/>
      <c r="E8" s="324"/>
      <c r="F8" s="324"/>
      <c r="G8" s="324"/>
      <c r="H8" s="324"/>
      <c r="I8" s="324"/>
      <c r="J8" s="324"/>
      <c r="K8" s="324"/>
      <c r="L8" s="324"/>
      <c r="M8" s="324"/>
      <c r="N8" s="324"/>
      <c r="O8" s="324"/>
      <c r="P8" s="324"/>
      <c r="Q8" s="324"/>
      <c r="R8" s="324"/>
      <c r="S8" s="372" t="s">
        <v>42</v>
      </c>
      <c r="T8" s="373"/>
      <c r="U8" s="374"/>
      <c r="AE8" s="6" t="s">
        <v>34</v>
      </c>
      <c r="AF8" s="6"/>
      <c r="AG8" s="1" t="str">
        <f>IF(AG6="N/A","N/A",IF(AI7="Cat 1",B22*B54,IF(AI7="Cat 2",B22*F54,IF(AI7="Cat 3",B22*I54,IF(AI7="Cat 4",B22*M54,IF(AI7="Cat 5",B22*P54,IF(AG6="N/A","N/A","N/A")))))))</f>
        <v>N/A</v>
      </c>
      <c r="AH8" s="6" t="s">
        <v>12</v>
      </c>
      <c r="AI8" s="8">
        <f>IF(B52="Cat 1",B54,IF(B52="Cat 2",F54,IF(B52="Cat 3",I54,IF(B52="Cat 4",M54,IF(B52="Cat 5",P54,IF(B52="Cat 6",S54,0))))))</f>
        <v>0</v>
      </c>
      <c r="AK8" s="1">
        <v>7</v>
      </c>
      <c r="AL8" s="2" t="b">
        <f>IF(AND(R5=7,B24&lt;=D66),"Cat "&amp;B58,IF(AND(R5=7,B24&lt;=H66),"Cat "&amp;F58,IF(AND(R5=7,B24&lt;=K66),"Cat "&amp;I58,IF(AND(R5=7,B24&lt;=O66),"Cat "&amp;M58,IF(AND(R5=7,B24&lt;=R66),"Cat "&amp;P58,IF(AND(R5=7,B24&lt;=U66),"Cat "&amp;S58))))))</f>
        <v>0</v>
      </c>
      <c r="AM8" s="2" t="b">
        <f>IF(AND(R5=7,B46&lt;=D66),"Cat "&amp;B58,IF(AND(R5=7,B46&lt;=H66),"Cat "&amp;F58,IF(AND(R5=7,B46&lt;=K66),"Cat "&amp;I58,IF(AND(R5=7,B46&lt;=O66),"Cat "&amp;M58,IF(AND(R5=7,B46&lt;=R66),"Cat "&amp;P58,IF(AND(R5=7,B46&lt;=U66),"Cat "&amp;S58))))))</f>
        <v>0</v>
      </c>
    </row>
    <row r="9" spans="1:39" x14ac:dyDescent="0.25">
      <c r="A9" s="37" t="s">
        <v>27</v>
      </c>
      <c r="B9" s="308"/>
      <c r="C9" s="309"/>
      <c r="D9" s="309"/>
      <c r="E9" s="309"/>
      <c r="F9" s="309"/>
      <c r="G9" s="309"/>
      <c r="H9" s="309"/>
      <c r="I9" s="309"/>
      <c r="J9" s="309"/>
      <c r="K9" s="309"/>
      <c r="L9" s="309"/>
      <c r="M9" s="309"/>
      <c r="N9" s="309"/>
      <c r="O9" s="309"/>
      <c r="P9" s="309"/>
      <c r="Q9" s="309"/>
      <c r="R9" s="309"/>
      <c r="S9" s="309"/>
      <c r="T9" s="309"/>
      <c r="U9" s="367"/>
      <c r="AK9" s="1">
        <v>8</v>
      </c>
      <c r="AL9" s="2" t="b">
        <f>IF(AND(R5=8,B24&lt;=D67),"Cat "&amp;B58,IF(AND(R5=8,B24&lt;=H67),"Cat "&amp;F58,IF(AND(R5=8,B24&lt;=K67),"Cat "&amp;I58,IF(AND(R5=8,B24&lt;=O67),"Cat "&amp;M58,IF(AND(R5=8,B24&lt;=R67),"Cat "&amp;P58,IF(AND(R5=8,B24&lt;=U67),"Cat "&amp;S58))))))</f>
        <v>0</v>
      </c>
      <c r="AM9" s="2" t="b">
        <f>IF(AND(R5=8,B46&lt;=D67),"Cat "&amp;B58,IF(AND(R5=8,B46&lt;=H67),"Cat "&amp;F58,IF(AND(R5=8,B46&lt;=K67),"Cat "&amp;I58,IF(AND(R5=8,B46&lt;=O67),"Cat "&amp;M58,IF(AND(R5=8,B46&lt;=R67),"Cat "&amp;P58,IF(AND(R5=8,B46&lt;=U67),"Cat "&amp;S58))))))</f>
        <v>0</v>
      </c>
    </row>
    <row r="10" spans="1:39" ht="40.5" customHeight="1" x14ac:dyDescent="0.3">
      <c r="A10" s="195" t="s">
        <v>203</v>
      </c>
      <c r="B10" s="326"/>
      <c r="C10" s="313"/>
      <c r="D10" s="313"/>
      <c r="E10" s="314"/>
      <c r="F10" s="312"/>
      <c r="G10" s="313"/>
      <c r="H10" s="314"/>
      <c r="I10" s="312"/>
      <c r="J10" s="313"/>
      <c r="K10" s="313"/>
      <c r="L10" s="314"/>
      <c r="M10" s="312"/>
      <c r="N10" s="313"/>
      <c r="O10" s="314"/>
      <c r="P10" s="312"/>
      <c r="Q10" s="313"/>
      <c r="R10" s="314"/>
      <c r="S10" s="312"/>
      <c r="T10" s="313"/>
      <c r="U10" s="315"/>
      <c r="AE10" s="6"/>
      <c r="AF10" s="6"/>
      <c r="AG10" s="40"/>
      <c r="AK10" s="5" t="s">
        <v>1</v>
      </c>
      <c r="AL10" s="1" t="b">
        <f>IF(AND(R5&gt;8,B24&lt;=D69),"Cat "&amp;B58,IF(AND(R5&gt;8,B24&lt;=H69),"Cat "&amp;F58,IF(AND(R5&gt;8,B24&lt;=K69),"Cat "&amp;I58,IF(AND(R5&gt;8,B24&lt;=O69),"Cat "&amp;M58,IF(AND(R5&gt;8,B24&lt;=R69),"Cat "&amp;P58,IF(AND(R5&gt;8,B24&lt;=U69),"Cat "&amp;S58,IF(AND(R5&gt;8,B24&lt;=U69),"Cat "&amp;S58)))))))</f>
        <v>0</v>
      </c>
      <c r="AM10" s="2" t="b">
        <f>IF(AND(R5&gt;8,B46&lt;=D69),"Cat "&amp;B58,IF(AND(R5&gt;8,B46&lt;=H69),"Cat "&amp;F58,IF(AND(R5&gt;8,B46&lt;=K69),"Cat "&amp;I58,IF(AND(R5&gt;8,B46&lt;=O69),"Cat "&amp;M58,IF(AND(R5&gt;8,B46&lt;=R69),"Cat "&amp;P58,IF(AND(R5&gt;8,B46&lt;=U69),"Cat "&amp;S58))))))</f>
        <v>0</v>
      </c>
    </row>
    <row r="11" spans="1:39" ht="37.5" x14ac:dyDescent="0.25">
      <c r="A11" s="48" t="s">
        <v>15</v>
      </c>
      <c r="B11" s="308"/>
      <c r="C11" s="309"/>
      <c r="D11" s="309"/>
      <c r="E11" s="309"/>
      <c r="F11" s="309"/>
      <c r="G11" s="309"/>
      <c r="H11" s="309"/>
      <c r="I11" s="309"/>
      <c r="J11" s="309"/>
      <c r="K11" s="309"/>
      <c r="L11" s="309"/>
      <c r="M11" s="309"/>
      <c r="N11" s="309"/>
      <c r="O11" s="309"/>
      <c r="P11" s="309"/>
      <c r="Q11" s="309"/>
      <c r="R11" s="309"/>
      <c r="S11" s="309"/>
      <c r="T11" s="309"/>
      <c r="U11" s="367"/>
      <c r="AE11" s="39"/>
    </row>
    <row r="12" spans="1:39" x14ac:dyDescent="0.25">
      <c r="A12" s="37" t="s">
        <v>13</v>
      </c>
      <c r="B12" s="308"/>
      <c r="C12" s="309"/>
      <c r="D12" s="309"/>
      <c r="E12" s="309"/>
      <c r="F12" s="309"/>
      <c r="G12" s="309"/>
      <c r="H12" s="309"/>
      <c r="I12" s="309"/>
      <c r="J12" s="309"/>
      <c r="K12" s="309"/>
      <c r="L12" s="309"/>
      <c r="M12" s="309"/>
      <c r="N12" s="309"/>
      <c r="O12" s="309"/>
      <c r="P12" s="309"/>
      <c r="Q12" s="309"/>
      <c r="R12" s="309"/>
      <c r="S12" s="309"/>
      <c r="T12" s="309"/>
      <c r="U12" s="367"/>
    </row>
    <row r="13" spans="1:39" ht="25.5" customHeight="1" x14ac:dyDescent="0.25">
      <c r="A13" s="37" t="s">
        <v>28</v>
      </c>
      <c r="B13" s="308"/>
      <c r="C13" s="309"/>
      <c r="D13" s="309"/>
      <c r="E13" s="309"/>
      <c r="F13" s="309"/>
      <c r="G13" s="309"/>
      <c r="H13" s="309"/>
      <c r="I13" s="309"/>
      <c r="J13" s="309"/>
      <c r="K13" s="309"/>
      <c r="L13" s="309"/>
      <c r="M13" s="309"/>
      <c r="N13" s="309"/>
      <c r="O13" s="309"/>
      <c r="P13" s="309"/>
      <c r="Q13" s="309"/>
      <c r="R13" s="309"/>
      <c r="S13" s="309"/>
      <c r="T13" s="309"/>
      <c r="U13" s="367"/>
      <c r="AC13" s="6"/>
    </row>
    <row r="14" spans="1:39" ht="25" x14ac:dyDescent="0.25">
      <c r="A14" s="38" t="s">
        <v>29</v>
      </c>
      <c r="B14" s="308"/>
      <c r="C14" s="309"/>
      <c r="D14" s="309"/>
      <c r="E14" s="309"/>
      <c r="F14" s="309"/>
      <c r="G14" s="309"/>
      <c r="H14" s="309"/>
      <c r="I14" s="309"/>
      <c r="J14" s="309"/>
      <c r="K14" s="309"/>
      <c r="L14" s="309"/>
      <c r="M14" s="309"/>
      <c r="N14" s="309"/>
      <c r="O14" s="309"/>
      <c r="P14" s="309"/>
      <c r="Q14" s="309"/>
      <c r="R14" s="309"/>
      <c r="S14" s="309"/>
      <c r="T14" s="309"/>
      <c r="U14" s="367"/>
      <c r="AC14" s="6"/>
    </row>
    <row r="15" spans="1:39" x14ac:dyDescent="0.25">
      <c r="A15" s="37" t="s">
        <v>30</v>
      </c>
      <c r="B15" s="308"/>
      <c r="C15" s="309"/>
      <c r="D15" s="309"/>
      <c r="E15" s="309"/>
      <c r="F15" s="309"/>
      <c r="G15" s="309"/>
      <c r="H15" s="309"/>
      <c r="I15" s="309"/>
      <c r="J15" s="309"/>
      <c r="K15" s="309"/>
      <c r="L15" s="309"/>
      <c r="M15" s="309"/>
      <c r="N15" s="309"/>
      <c r="O15" s="309"/>
      <c r="P15" s="309"/>
      <c r="Q15" s="309"/>
      <c r="R15" s="309"/>
      <c r="S15" s="309"/>
      <c r="T15" s="309"/>
      <c r="U15" s="367"/>
    </row>
    <row r="16" spans="1:39" ht="31.5" customHeight="1" x14ac:dyDescent="0.25">
      <c r="A16" s="38" t="s">
        <v>31</v>
      </c>
      <c r="B16" s="308"/>
      <c r="C16" s="309"/>
      <c r="D16" s="309"/>
      <c r="E16" s="309"/>
      <c r="F16" s="309"/>
      <c r="G16" s="309"/>
      <c r="H16" s="309"/>
      <c r="I16" s="309"/>
      <c r="J16" s="309"/>
      <c r="K16" s="309"/>
      <c r="L16" s="309"/>
      <c r="M16" s="309"/>
      <c r="N16" s="309"/>
      <c r="O16" s="309"/>
      <c r="P16" s="309"/>
      <c r="Q16" s="309"/>
      <c r="R16" s="309"/>
      <c r="S16" s="309"/>
      <c r="T16" s="309"/>
      <c r="U16" s="367"/>
    </row>
    <row r="17" spans="1:21" ht="15" customHeight="1" x14ac:dyDescent="0.25">
      <c r="A17" s="31" t="s">
        <v>32</v>
      </c>
      <c r="B17" s="308"/>
      <c r="C17" s="309"/>
      <c r="D17" s="309"/>
      <c r="E17" s="309"/>
      <c r="F17" s="309"/>
      <c r="G17" s="309"/>
      <c r="H17" s="309"/>
      <c r="I17" s="309"/>
      <c r="J17" s="309"/>
      <c r="K17" s="309"/>
      <c r="L17" s="309"/>
      <c r="M17" s="309"/>
      <c r="N17" s="309"/>
      <c r="O17" s="309"/>
      <c r="P17" s="309"/>
      <c r="Q17" s="309"/>
      <c r="R17" s="309"/>
      <c r="S17" s="309"/>
      <c r="T17" s="309"/>
      <c r="U17" s="367"/>
    </row>
    <row r="18" spans="1:21" x14ac:dyDescent="0.25">
      <c r="A18" s="37" t="s">
        <v>14</v>
      </c>
      <c r="B18" s="308"/>
      <c r="C18" s="309"/>
      <c r="D18" s="309"/>
      <c r="E18" s="309"/>
      <c r="F18" s="309"/>
      <c r="G18" s="309"/>
      <c r="H18" s="309"/>
      <c r="I18" s="309"/>
      <c r="J18" s="309"/>
      <c r="K18" s="309"/>
      <c r="L18" s="309"/>
      <c r="M18" s="309"/>
      <c r="N18" s="309"/>
      <c r="O18" s="309"/>
      <c r="P18" s="309"/>
      <c r="Q18" s="309"/>
      <c r="R18" s="309"/>
      <c r="S18" s="309"/>
      <c r="T18" s="309"/>
      <c r="U18" s="367"/>
    </row>
    <row r="19" spans="1:21" x14ac:dyDescent="0.25">
      <c r="A19" s="52" t="s">
        <v>41</v>
      </c>
      <c r="B19" s="308"/>
      <c r="C19" s="309"/>
      <c r="D19" s="309"/>
      <c r="E19" s="309"/>
      <c r="F19" s="309"/>
      <c r="G19" s="309"/>
      <c r="H19" s="309"/>
      <c r="I19" s="309"/>
      <c r="J19" s="309"/>
      <c r="K19" s="309"/>
      <c r="L19" s="309"/>
      <c r="M19" s="309"/>
      <c r="N19" s="309"/>
      <c r="O19" s="309"/>
      <c r="P19" s="309"/>
      <c r="Q19" s="309"/>
      <c r="R19" s="309"/>
      <c r="S19" s="309"/>
      <c r="T19" s="309"/>
      <c r="U19" s="367"/>
    </row>
    <row r="20" spans="1:21" ht="15" customHeight="1" thickBot="1" x14ac:dyDescent="0.3">
      <c r="A20" s="243"/>
      <c r="B20" s="334"/>
      <c r="C20" s="321"/>
      <c r="D20" s="321"/>
      <c r="E20" s="321"/>
      <c r="F20" s="321"/>
      <c r="G20" s="321"/>
      <c r="H20" s="321"/>
      <c r="I20" s="321"/>
      <c r="J20" s="321"/>
      <c r="K20" s="321"/>
      <c r="L20" s="321"/>
      <c r="M20" s="321"/>
      <c r="N20" s="321"/>
      <c r="O20" s="321"/>
      <c r="P20" s="321"/>
      <c r="Q20" s="321"/>
      <c r="R20" s="321"/>
      <c r="S20" s="321"/>
      <c r="T20" s="321"/>
      <c r="U20" s="381"/>
    </row>
    <row r="21" spans="1:21" ht="12.75" customHeight="1" thickBot="1" x14ac:dyDescent="0.3">
      <c r="A21" s="32"/>
      <c r="D21" s="2"/>
      <c r="E21" s="2"/>
      <c r="F21" s="2"/>
      <c r="G21" s="2"/>
      <c r="H21" s="2"/>
      <c r="I21" s="2"/>
      <c r="J21" s="2"/>
      <c r="K21" s="2"/>
      <c r="L21" s="2"/>
      <c r="M21" s="2"/>
      <c r="N21" s="2"/>
      <c r="O21" s="2"/>
      <c r="P21" s="196"/>
      <c r="Q21" s="196"/>
      <c r="R21" s="196"/>
      <c r="S21" s="2"/>
      <c r="T21" s="2"/>
      <c r="U21" s="17"/>
    </row>
    <row r="22" spans="1:21" ht="18.75" customHeight="1" thickBot="1" x14ac:dyDescent="0.3">
      <c r="A22" s="53" t="s">
        <v>35</v>
      </c>
      <c r="B22" s="335">
        <f>SUM(B9:E19)</f>
        <v>0</v>
      </c>
      <c r="C22" s="336"/>
      <c r="D22" s="336"/>
      <c r="E22" s="337"/>
      <c r="F22" s="335">
        <f>SUM(F9:H19)</f>
        <v>0</v>
      </c>
      <c r="G22" s="336"/>
      <c r="H22" s="337"/>
      <c r="I22" s="335">
        <f>SUM(I9:L19)</f>
        <v>0</v>
      </c>
      <c r="J22" s="336"/>
      <c r="K22" s="336"/>
      <c r="L22" s="337"/>
      <c r="M22" s="335">
        <f>SUM(M9:O19)</f>
        <v>0</v>
      </c>
      <c r="N22" s="336"/>
      <c r="O22" s="336"/>
      <c r="P22" s="335">
        <f>SUM(P9:R19)</f>
        <v>0</v>
      </c>
      <c r="Q22" s="336"/>
      <c r="R22" s="337"/>
      <c r="S22" s="382">
        <f>SUM(S9:U19)</f>
        <v>0</v>
      </c>
      <c r="T22" s="336"/>
      <c r="U22" s="383"/>
    </row>
    <row r="23" spans="1:21" ht="21" customHeight="1" thickBot="1" x14ac:dyDescent="0.3">
      <c r="A23" s="16"/>
      <c r="D23" s="2"/>
      <c r="E23" s="2"/>
      <c r="F23" s="2"/>
      <c r="G23" s="2"/>
      <c r="H23" s="2"/>
      <c r="I23" s="2"/>
      <c r="J23" s="2"/>
      <c r="K23" s="2"/>
      <c r="L23" s="2"/>
      <c r="M23" s="2"/>
      <c r="N23" s="2"/>
      <c r="O23" s="2"/>
      <c r="P23" s="2"/>
      <c r="Q23" s="2"/>
      <c r="R23" s="2"/>
      <c r="S23" s="61"/>
      <c r="T23" s="61"/>
      <c r="U23" s="62"/>
    </row>
    <row r="24" spans="1:21" ht="39" customHeight="1" thickBot="1" x14ac:dyDescent="0.3">
      <c r="A24" s="50" t="s">
        <v>56</v>
      </c>
      <c r="B24" s="338" t="str">
        <f>IF(R5&gt;0,SUM(B22:U22),"N/A")</f>
        <v>N/A</v>
      </c>
      <c r="C24" s="339"/>
      <c r="D24" s="339"/>
      <c r="E24" s="340"/>
      <c r="F24" s="58"/>
      <c r="I24" s="360" t="s">
        <v>55</v>
      </c>
      <c r="J24" s="361"/>
      <c r="K24" s="361"/>
      <c r="L24" s="49" t="str">
        <f>IF(AF1="Cat 1","= ",IF(AF1="Cat 2","= ",IF(AF1="Cat 3","= ",IF(AF1="Cat 4","= ",IF(AF1="Cat 5","= ","")))))</f>
        <v/>
      </c>
      <c r="M24" s="366" t="str">
        <f>IF(R5&lt;1,"Please enter Household Size",IF(AF1="Cat 1",B56,IF(AF1="Cat 2",F56,IF(AF1="Cat 3",I56,IF(AF1="Cat 4",M56,IF(AF1="Cat 5",P56,AF1))))))</f>
        <v>Please enter Household Size</v>
      </c>
      <c r="N24" s="339"/>
      <c r="O24" s="339"/>
      <c r="P24" s="340"/>
      <c r="Q24" s="58"/>
      <c r="R24" s="58"/>
      <c r="S24" s="58"/>
      <c r="T24" s="58"/>
      <c r="U24" s="18"/>
    </row>
    <row r="25" spans="1:21" ht="13" thickBot="1" x14ac:dyDescent="0.3">
      <c r="A25" s="19"/>
      <c r="B25" s="9"/>
      <c r="C25" s="9"/>
      <c r="D25" s="9"/>
      <c r="E25" s="9"/>
      <c r="F25" s="9"/>
      <c r="G25" s="9"/>
      <c r="H25" s="9"/>
      <c r="I25" s="9"/>
      <c r="J25" s="9"/>
      <c r="K25" s="9"/>
      <c r="L25" s="9"/>
      <c r="M25" s="9"/>
      <c r="N25" s="9"/>
      <c r="O25" s="9"/>
      <c r="P25" s="9"/>
      <c r="Q25" s="9"/>
      <c r="R25" s="9"/>
      <c r="S25" s="9"/>
      <c r="T25" s="9"/>
      <c r="U25" s="20"/>
    </row>
    <row r="26" spans="1:21" ht="13" thickTop="1" x14ac:dyDescent="0.25">
      <c r="A26" s="51" t="s">
        <v>43</v>
      </c>
    </row>
    <row r="27" spans="1:21" x14ac:dyDescent="0.25">
      <c r="A27" s="51" t="s">
        <v>54</v>
      </c>
      <c r="B27" s="51"/>
      <c r="C27" s="51"/>
    </row>
    <row r="28" spans="1:21" x14ac:dyDescent="0.25">
      <c r="A28" s="51" t="s">
        <v>146</v>
      </c>
      <c r="B28" s="51"/>
      <c r="C28" s="51"/>
    </row>
    <row r="29" spans="1:21" s="51" customFormat="1" x14ac:dyDescent="0.25">
      <c r="A29" s="51" t="s">
        <v>149</v>
      </c>
      <c r="D29" s="1"/>
      <c r="E29" s="1"/>
      <c r="F29" s="1"/>
      <c r="G29" s="1"/>
      <c r="H29" s="1"/>
      <c r="I29" s="1"/>
      <c r="J29" s="1"/>
      <c r="K29" s="1"/>
      <c r="L29" s="1"/>
      <c r="M29" s="1"/>
      <c r="N29" s="1"/>
      <c r="O29" s="1"/>
      <c r="P29" s="1"/>
      <c r="Q29" s="1"/>
      <c r="R29" s="1"/>
      <c r="S29" s="1"/>
      <c r="T29" s="1"/>
      <c r="U29" s="1"/>
    </row>
    <row r="30" spans="1:21" ht="12.75" hidden="1" customHeight="1" x14ac:dyDescent="0.25">
      <c r="A30" s="51" t="s">
        <v>147</v>
      </c>
      <c r="B30" s="51"/>
      <c r="C30" s="51"/>
    </row>
    <row r="31" spans="1:21" ht="12.75" hidden="1" customHeight="1" x14ac:dyDescent="0.25">
      <c r="A31" s="51" t="s">
        <v>117</v>
      </c>
      <c r="B31" s="51"/>
      <c r="C31" s="51"/>
      <c r="D31" s="51"/>
      <c r="E31" s="51"/>
      <c r="F31" s="51"/>
      <c r="G31" s="51"/>
      <c r="H31" s="51"/>
      <c r="I31" s="51"/>
      <c r="J31" s="51"/>
      <c r="K31" s="51"/>
      <c r="L31" s="51"/>
      <c r="M31" s="51"/>
      <c r="N31" s="51"/>
      <c r="O31" s="51"/>
      <c r="P31" s="51"/>
      <c r="Q31" s="51"/>
      <c r="R31" s="51"/>
      <c r="S31" s="51"/>
      <c r="T31" s="51"/>
    </row>
    <row r="32" spans="1:21" ht="12.75" hidden="1" customHeight="1" x14ac:dyDescent="0.25">
      <c r="A32" s="51" t="s">
        <v>125</v>
      </c>
      <c r="B32" s="51"/>
      <c r="C32" s="51"/>
      <c r="U32" s="51"/>
    </row>
    <row r="33" spans="1:33" x14ac:dyDescent="0.25">
      <c r="A33" s="51" t="s">
        <v>118</v>
      </c>
      <c r="B33" s="51"/>
      <c r="C33" s="51"/>
      <c r="D33" s="51"/>
      <c r="E33" s="51"/>
      <c r="F33" s="51"/>
      <c r="G33" s="51"/>
      <c r="H33" s="51"/>
      <c r="I33" s="51"/>
      <c r="J33" s="51"/>
      <c r="K33" s="51"/>
      <c r="L33" s="51"/>
      <c r="M33" s="51"/>
      <c r="N33" s="51"/>
      <c r="O33" s="51"/>
      <c r="P33" s="51"/>
      <c r="Q33" s="51"/>
      <c r="R33" s="51"/>
      <c r="S33" s="51"/>
      <c r="T33" s="51"/>
      <c r="U33" s="51"/>
    </row>
    <row r="34" spans="1:33" x14ac:dyDescent="0.25">
      <c r="A34" s="51" t="s">
        <v>148</v>
      </c>
      <c r="B34" s="51"/>
      <c r="C34" s="51"/>
    </row>
    <row r="35" spans="1:33" x14ac:dyDescent="0.25">
      <c r="A35" s="51"/>
      <c r="B35" s="51"/>
      <c r="C35" s="51"/>
    </row>
    <row r="36" spans="1:33" x14ac:dyDescent="0.25">
      <c r="A36" s="51"/>
      <c r="B36" s="51"/>
      <c r="C36" s="51"/>
    </row>
    <row r="37" spans="1:33" ht="18" thickBot="1" x14ac:dyDescent="0.55000000000000004">
      <c r="A37" s="328"/>
      <c r="B37" s="328"/>
      <c r="C37" s="328"/>
      <c r="D37" s="328"/>
      <c r="K37" s="328"/>
      <c r="L37" s="328"/>
      <c r="M37" s="328"/>
      <c r="N37" s="328"/>
      <c r="O37" s="391"/>
      <c r="P37" s="391"/>
    </row>
    <row r="38" spans="1:33" x14ac:dyDescent="0.25">
      <c r="A38" s="6" t="s">
        <v>38</v>
      </c>
      <c r="B38" s="6"/>
      <c r="C38" s="6"/>
      <c r="K38" s="6" t="s">
        <v>39</v>
      </c>
      <c r="U38" s="63" t="s">
        <v>143</v>
      </c>
    </row>
    <row r="39" spans="1:33" ht="39.75" customHeight="1" x14ac:dyDescent="0.25"/>
    <row r="40" spans="1:33" ht="33.75" customHeight="1" thickBot="1" x14ac:dyDescent="0.4">
      <c r="A40" s="341" t="str">
        <f>IF(AND(A1=0,H1=0),"Please fill out Name or Case Number",IF(A1=0,"",A1))</f>
        <v>No Name Please Fill Out Eligibility Tab</v>
      </c>
      <c r="B40" s="341"/>
      <c r="C40" s="341"/>
      <c r="D40" s="341"/>
      <c r="H40" s="341" t="str">
        <f>IF(AND(A1=0,H1=0),"Please fill out Name or Case Number",IF(H1=0,"",H1))</f>
        <v>No Case # Please Fill Out Eligibility Tab</v>
      </c>
      <c r="I40" s="341"/>
      <c r="J40" s="341"/>
      <c r="K40" s="341"/>
      <c r="O40" s="353" t="str">
        <f>IF(O1="","Please enter Agency Initials",O1)</f>
        <v>Please Enter Agency Initials on Eligibility tab</v>
      </c>
      <c r="P40" s="354"/>
      <c r="T40" s="59"/>
      <c r="U40" s="392">
        <f ca="1">TODAY()</f>
        <v>45692</v>
      </c>
      <c r="V40" s="392"/>
      <c r="AG40" s="7"/>
    </row>
    <row r="41" spans="1:33" ht="12.75" customHeight="1" thickTop="1" x14ac:dyDescent="0.25">
      <c r="A41" s="320" t="s">
        <v>16</v>
      </c>
      <c r="B41" s="320"/>
      <c r="C41" s="320"/>
      <c r="D41" s="320"/>
      <c r="H41" s="320" t="s">
        <v>17</v>
      </c>
      <c r="I41" s="320"/>
      <c r="J41" s="320"/>
      <c r="K41" s="320"/>
      <c r="O41" s="355" t="s">
        <v>224</v>
      </c>
      <c r="P41" s="356"/>
      <c r="T41" s="10"/>
      <c r="U41" s="320" t="s">
        <v>18</v>
      </c>
      <c r="V41" s="385"/>
    </row>
    <row r="42" spans="1:33" ht="13.5" customHeight="1" thickBot="1" x14ac:dyDescent="0.3"/>
    <row r="43" spans="1:33" ht="10.5" customHeight="1" thickTop="1" x14ac:dyDescent="0.25">
      <c r="A43" s="35"/>
      <c r="B43" s="15"/>
      <c r="C43" s="15"/>
      <c r="D43" s="15"/>
      <c r="E43" s="15"/>
      <c r="F43" s="15"/>
      <c r="G43" s="15"/>
      <c r="H43" s="15"/>
      <c r="I43" s="15"/>
      <c r="J43" s="15"/>
      <c r="K43" s="15"/>
      <c r="L43" s="15"/>
      <c r="M43" s="15"/>
      <c r="N43" s="15"/>
      <c r="O43" s="15"/>
      <c r="P43" s="15"/>
      <c r="Q43" s="15"/>
      <c r="R43" s="15"/>
      <c r="S43" s="15"/>
      <c r="T43" s="15"/>
      <c r="U43" s="15"/>
      <c r="V43" s="15"/>
      <c r="W43" s="33"/>
    </row>
    <row r="44" spans="1:33" ht="36" customHeight="1" x14ac:dyDescent="0.5">
      <c r="A44" s="36" t="s">
        <v>24</v>
      </c>
      <c r="B44" s="57"/>
      <c r="C44" s="57"/>
      <c r="W44" s="18"/>
    </row>
    <row r="45" spans="1:33" ht="9.75" customHeight="1" x14ac:dyDescent="0.5">
      <c r="A45" s="36"/>
      <c r="B45" s="57"/>
      <c r="C45" s="57"/>
      <c r="W45" s="18"/>
    </row>
    <row r="46" spans="1:33" ht="36.75" customHeight="1" x14ac:dyDescent="0.25">
      <c r="A46" s="131" t="s">
        <v>25</v>
      </c>
      <c r="B46" s="275" t="str">
        <f>IF(R5&gt;0,B22,"N/A")</f>
        <v>N/A</v>
      </c>
      <c r="C46" s="276"/>
      <c r="D46" s="277"/>
      <c r="E46" s="132"/>
      <c r="F46" s="304" t="s">
        <v>44</v>
      </c>
      <c r="G46" s="284"/>
      <c r="H46" s="284"/>
      <c r="I46" s="305" t="str">
        <f>IF(R5&lt;1,"N/A",R5)</f>
        <v>N/A</v>
      </c>
      <c r="J46" s="306"/>
      <c r="K46" s="307"/>
      <c r="M46"/>
      <c r="N46"/>
      <c r="O46"/>
      <c r="P46"/>
      <c r="Q46"/>
      <c r="S46" s="11"/>
      <c r="U46" s="150"/>
      <c r="W46" s="151"/>
    </row>
    <row r="47" spans="1:33" ht="14.25" hidden="1" customHeight="1" x14ac:dyDescent="0.5">
      <c r="A47" s="36"/>
      <c r="B47" s="57"/>
      <c r="C47" s="57"/>
      <c r="U47" s="11"/>
      <c r="W47" s="18"/>
    </row>
    <row r="48" spans="1:33" ht="36" hidden="1" customHeight="1" x14ac:dyDescent="0.25">
      <c r="A48" s="133" t="s">
        <v>136</v>
      </c>
      <c r="B48" s="293" t="str">
        <f>IF(B46=0,0,IF(R5&gt;0,B22,"N/A"))</f>
        <v>N/A</v>
      </c>
      <c r="C48" s="294"/>
      <c r="D48" s="295"/>
      <c r="E48" s="80"/>
      <c r="F48" s="304" t="s">
        <v>44</v>
      </c>
      <c r="G48" s="284"/>
      <c r="H48" s="284"/>
      <c r="I48" s="305" t="str">
        <f>IF(R5&lt;1,"N/A",R5)</f>
        <v>N/A</v>
      </c>
      <c r="J48" s="306"/>
      <c r="K48" s="307"/>
      <c r="S48" s="11"/>
      <c r="W48" s="18"/>
      <c r="X48" s="8"/>
      <c r="Y48" s="8"/>
      <c r="Z48" s="8"/>
      <c r="AA48" s="8"/>
      <c r="AB48" s="8"/>
      <c r="AC48" s="8"/>
      <c r="AD48" s="8"/>
    </row>
    <row r="49" spans="1:30" ht="14.25" customHeight="1" x14ac:dyDescent="0.35">
      <c r="A49" s="82"/>
      <c r="B49" s="81"/>
      <c r="C49" s="81"/>
      <c r="D49" s="81"/>
      <c r="E49" s="81"/>
      <c r="F49" s="81"/>
      <c r="G49" s="81"/>
      <c r="H49" s="81"/>
      <c r="I49" s="81"/>
      <c r="J49" s="81"/>
      <c r="K49" s="81"/>
      <c r="L49" s="81"/>
      <c r="M49" s="81"/>
      <c r="N49" s="81"/>
      <c r="O49" s="81"/>
      <c r="P49" s="81"/>
      <c r="Q49" s="81"/>
      <c r="R49" s="81"/>
      <c r="V49" s="8"/>
      <c r="W49" s="125"/>
      <c r="X49" s="8"/>
      <c r="Y49" s="8"/>
      <c r="Z49" s="8"/>
      <c r="AA49" s="8"/>
      <c r="AB49" s="8"/>
      <c r="AC49" s="8"/>
      <c r="AD49" s="8"/>
    </row>
    <row r="50" spans="1:30" ht="36" customHeight="1" x14ac:dyDescent="0.35">
      <c r="A50" s="83" t="s">
        <v>45</v>
      </c>
      <c r="B50" s="296" t="str">
        <f>IF(AI7="Cat 1",AI7,IF(AI7="Cat 2",AI7,IF(AI7="Cat 3",AI7,IF(AI7="Cat 4",AI7,IF(AI7="Cat 5",AI7,IF(AI7="Cat 6",AI7,IF(AG6="N/A","N/A","N/A")))))))</f>
        <v>N/A</v>
      </c>
      <c r="C50" s="297"/>
      <c r="D50" s="298"/>
      <c r="E50" s="81"/>
      <c r="F50" s="304" t="s">
        <v>12</v>
      </c>
      <c r="G50" s="343"/>
      <c r="H50" s="344"/>
      <c r="I50" s="357" t="str">
        <f>IF(B50="Cat 1",B54,IF(B50="Cat 2",F54,IF(B50="Cat 3",I54,IF(B50="Cat 4",M54,IF(B50="Cat 5",P54,IF(B50="Cat 6",S54,"N/A"))))))</f>
        <v>N/A</v>
      </c>
      <c r="J50" s="358"/>
      <c r="K50" s="359"/>
      <c r="L50" s="81"/>
      <c r="M50" s="342" t="s">
        <v>192</v>
      </c>
      <c r="N50" s="368"/>
      <c r="O50" s="368"/>
      <c r="P50" s="369"/>
      <c r="Q50" s="380" t="str">
        <f>IF(AI7="Cat 1",B46*B54,IF(AI7="Cat 2",B46*F54,IF(AI7="Cat 3",B46*I54,IF(AI7="Cat 4",B46*M54,IF(AI7="Cat 5",B46*P54,IF(AI7="Cat 6",B46*S54,IF(AG6="N/A","N/A","N/A")))))))</f>
        <v>N/A</v>
      </c>
      <c r="R50" s="358"/>
      <c r="S50" s="359"/>
      <c r="T50"/>
      <c r="W50" s="18"/>
      <c r="X50" s="8"/>
      <c r="Y50" s="8"/>
      <c r="Z50" s="8"/>
      <c r="AA50" s="8"/>
      <c r="AB50" s="8"/>
      <c r="AC50" s="8"/>
      <c r="AD50" s="8"/>
    </row>
    <row r="51" spans="1:30" ht="17.5" x14ac:dyDescent="0.35">
      <c r="A51" s="82"/>
      <c r="B51" s="81"/>
      <c r="C51" s="81"/>
      <c r="D51" s="81"/>
      <c r="E51" s="81"/>
      <c r="F51" s="81"/>
      <c r="G51" s="81"/>
      <c r="H51" s="81"/>
      <c r="I51" s="81"/>
      <c r="J51" s="81"/>
      <c r="K51" s="81"/>
      <c r="L51" s="81"/>
      <c r="M51" s="81"/>
      <c r="N51" s="81"/>
      <c r="O51" s="81"/>
      <c r="P51" s="81"/>
      <c r="Q51" s="81"/>
      <c r="R51" s="81"/>
      <c r="V51" s="8"/>
      <c r="W51" s="125"/>
      <c r="X51" s="8"/>
      <c r="Y51" s="8"/>
      <c r="Z51" s="8"/>
      <c r="AA51" s="8"/>
      <c r="AB51" s="8"/>
      <c r="AC51" s="8"/>
      <c r="AD51" s="8"/>
    </row>
    <row r="52" spans="1:30" ht="36" customHeight="1" x14ac:dyDescent="0.35">
      <c r="A52" s="84" t="s">
        <v>10</v>
      </c>
      <c r="B52" s="347" t="str">
        <f>IF(AI7="Cat 1",AI7,IF(AI7="Cat 2",AI7,IF(AI7="Cat 3",AI7,IF(AI7="Cat 4",AI7,IF(AI7="Cat 5",AI7,IF(AI7="Cat 6",AI7,IF(AG6="N/A","N/A","N/A")))))))</f>
        <v>N/A</v>
      </c>
      <c r="C52" s="348"/>
      <c r="D52" s="349"/>
      <c r="E52" s="81"/>
      <c r="F52" s="342" t="s">
        <v>11</v>
      </c>
      <c r="G52" s="343"/>
      <c r="H52" s="344"/>
      <c r="I52" s="357" t="str">
        <f>IF(B52="Cat 1",B55,IF(B52="Cat 2",F55,IF(B52="Cat 3",I55,IF(B52="Cat 4",M55,IF(B52="Cat 5",P55,IF(B52="Cat 6",S55,"N/A"))))))</f>
        <v>N/A</v>
      </c>
      <c r="J52" s="358"/>
      <c r="K52" s="359"/>
      <c r="L52" s="81"/>
      <c r="M52" s="81"/>
      <c r="N52" s="81"/>
      <c r="O52" s="81"/>
      <c r="P52" s="81"/>
      <c r="Q52" s="81"/>
      <c r="R52" s="81"/>
      <c r="V52" s="8"/>
      <c r="W52" s="125"/>
      <c r="X52" s="2"/>
      <c r="Y52" s="2"/>
      <c r="Z52" s="2"/>
      <c r="AA52" s="2"/>
      <c r="AB52" s="2"/>
      <c r="AC52" s="2"/>
      <c r="AD52" s="2"/>
    </row>
    <row r="53" spans="1:30" ht="13" thickBot="1" x14ac:dyDescent="0.3">
      <c r="A53" s="16"/>
      <c r="V53" s="2"/>
      <c r="W53" s="17"/>
      <c r="X53" s="2"/>
      <c r="Y53" s="2"/>
      <c r="Z53" s="2"/>
      <c r="AA53" s="2"/>
      <c r="AB53" s="2"/>
      <c r="AC53" s="2"/>
      <c r="AD53" s="2"/>
    </row>
    <row r="54" spans="1:30" ht="13" thickTop="1" x14ac:dyDescent="0.25">
      <c r="A54" s="21" t="s">
        <v>23</v>
      </c>
      <c r="B54" s="290">
        <v>0</v>
      </c>
      <c r="C54" s="291"/>
      <c r="D54" s="291"/>
      <c r="E54" s="292"/>
      <c r="F54" s="290">
        <v>0.05</v>
      </c>
      <c r="G54" s="345"/>
      <c r="H54" s="346"/>
      <c r="I54" s="290">
        <v>0.05</v>
      </c>
      <c r="J54" s="345"/>
      <c r="K54" s="345"/>
      <c r="L54" s="346"/>
      <c r="M54" s="290">
        <v>7.0000000000000007E-2</v>
      </c>
      <c r="N54" s="345"/>
      <c r="O54" s="346"/>
      <c r="P54" s="290">
        <v>0.1</v>
      </c>
      <c r="Q54" s="345"/>
      <c r="R54" s="346"/>
      <c r="S54" s="290">
        <v>0.1</v>
      </c>
      <c r="T54" s="345"/>
      <c r="U54" s="345"/>
      <c r="V54" s="267" t="s">
        <v>130</v>
      </c>
      <c r="W54" s="268"/>
      <c r="X54" s="2"/>
      <c r="Y54" s="2"/>
      <c r="Z54" s="2"/>
      <c r="AA54" s="2"/>
      <c r="AB54" s="2"/>
      <c r="AC54" s="2"/>
      <c r="AD54" s="2"/>
    </row>
    <row r="55" spans="1:30" x14ac:dyDescent="0.25">
      <c r="A55" s="22" t="s">
        <v>7</v>
      </c>
      <c r="B55" s="393">
        <f>Eligibility!B62</f>
        <v>0</v>
      </c>
      <c r="C55" s="396"/>
      <c r="D55" s="396"/>
      <c r="E55" s="397"/>
      <c r="F55" s="393">
        <f>Eligibility!F62</f>
        <v>0.01</v>
      </c>
      <c r="G55" s="394"/>
      <c r="H55" s="395"/>
      <c r="I55" s="393">
        <f>Eligibility!I62</f>
        <v>0.02</v>
      </c>
      <c r="J55" s="394"/>
      <c r="K55" s="394"/>
      <c r="L55" s="395"/>
      <c r="M55" s="393">
        <f>Eligibility!M62</f>
        <v>0.03</v>
      </c>
      <c r="N55" s="394"/>
      <c r="O55" s="395"/>
      <c r="P55" s="393">
        <f>Eligibility!P62</f>
        <v>0.05</v>
      </c>
      <c r="Q55" s="394"/>
      <c r="R55" s="395"/>
      <c r="S55" s="393">
        <f>Eligibility!S62</f>
        <v>0.1</v>
      </c>
      <c r="T55" s="394"/>
      <c r="U55" s="394"/>
      <c r="V55" s="269" t="s">
        <v>130</v>
      </c>
      <c r="W55" s="270"/>
      <c r="X55" s="2"/>
      <c r="Y55" s="2"/>
      <c r="Z55" s="2"/>
      <c r="AA55" s="2"/>
      <c r="AB55" s="2"/>
      <c r="AC55" s="2"/>
      <c r="AD55" s="2"/>
    </row>
    <row r="56" spans="1:30" ht="13" thickBot="1" x14ac:dyDescent="0.3">
      <c r="A56" s="23" t="s">
        <v>8</v>
      </c>
      <c r="B56" s="278" t="s">
        <v>47</v>
      </c>
      <c r="C56" s="279"/>
      <c r="D56" s="279"/>
      <c r="E56" s="280"/>
      <c r="F56" s="278" t="s">
        <v>201</v>
      </c>
      <c r="G56" s="310"/>
      <c r="H56" s="311"/>
      <c r="I56" s="278" t="s">
        <v>202</v>
      </c>
      <c r="J56" s="310"/>
      <c r="K56" s="310"/>
      <c r="L56" s="311"/>
      <c r="M56" s="278" t="s">
        <v>50</v>
      </c>
      <c r="N56" s="310"/>
      <c r="O56" s="311"/>
      <c r="P56" s="278" t="s">
        <v>51</v>
      </c>
      <c r="Q56" s="310"/>
      <c r="R56" s="311"/>
      <c r="S56" s="278" t="s">
        <v>52</v>
      </c>
      <c r="T56" s="310"/>
      <c r="U56" s="310"/>
      <c r="V56" s="271" t="s">
        <v>131</v>
      </c>
      <c r="W56" s="272"/>
      <c r="X56" s="2"/>
      <c r="Y56" s="2"/>
      <c r="Z56" s="2"/>
      <c r="AA56" s="2"/>
      <c r="AB56" s="2"/>
      <c r="AC56" s="2"/>
      <c r="AD56" s="2"/>
    </row>
    <row r="57" spans="1:30" ht="13" thickTop="1" x14ac:dyDescent="0.25">
      <c r="A57" s="24"/>
      <c r="B57" s="329"/>
      <c r="C57" s="282"/>
      <c r="D57" s="282"/>
      <c r="E57" s="299"/>
      <c r="F57" s="281"/>
      <c r="G57" s="282"/>
      <c r="H57" s="299"/>
      <c r="I57" s="281"/>
      <c r="J57" s="282"/>
      <c r="K57" s="282"/>
      <c r="L57" s="299"/>
      <c r="M57" s="281"/>
      <c r="N57" s="282"/>
      <c r="O57" s="299"/>
      <c r="P57" s="281"/>
      <c r="Q57" s="282"/>
      <c r="R57" s="299"/>
      <c r="S57" s="281"/>
      <c r="T57" s="282"/>
      <c r="U57" s="282"/>
      <c r="V57" s="126"/>
      <c r="W57" s="127"/>
      <c r="X57" s="2"/>
      <c r="Y57" s="2"/>
      <c r="Z57" s="2"/>
      <c r="AA57" s="2"/>
      <c r="AB57" s="2"/>
      <c r="AC57" s="2"/>
      <c r="AD57" s="2"/>
    </row>
    <row r="58" spans="1:30" x14ac:dyDescent="0.25">
      <c r="A58" s="22" t="s">
        <v>9</v>
      </c>
      <c r="B58" s="283">
        <v>1</v>
      </c>
      <c r="C58" s="284"/>
      <c r="D58" s="284"/>
      <c r="E58" s="307"/>
      <c r="F58" s="283">
        <v>2</v>
      </c>
      <c r="G58" s="284"/>
      <c r="H58" s="307"/>
      <c r="I58" s="283">
        <v>3</v>
      </c>
      <c r="J58" s="284"/>
      <c r="K58" s="284"/>
      <c r="L58" s="307"/>
      <c r="M58" s="283">
        <v>4</v>
      </c>
      <c r="N58" s="284"/>
      <c r="O58" s="307"/>
      <c r="P58" s="283">
        <v>5</v>
      </c>
      <c r="Q58" s="284"/>
      <c r="R58" s="307"/>
      <c r="S58" s="283">
        <v>6</v>
      </c>
      <c r="T58" s="284"/>
      <c r="U58" s="284"/>
      <c r="V58" s="269" t="s">
        <v>132</v>
      </c>
      <c r="W58" s="270"/>
      <c r="X58" s="2"/>
      <c r="Y58" s="2"/>
      <c r="Z58" s="2"/>
      <c r="AA58" s="2"/>
      <c r="AB58" s="2"/>
      <c r="AC58" s="2"/>
      <c r="AD58" s="2"/>
    </row>
    <row r="59" spans="1:30" x14ac:dyDescent="0.25">
      <c r="A59" s="25" t="s">
        <v>0</v>
      </c>
      <c r="B59" s="283"/>
      <c r="C59" s="286"/>
      <c r="D59" s="286"/>
      <c r="E59" s="330"/>
      <c r="F59" s="285"/>
      <c r="G59" s="365"/>
      <c r="H59" s="330"/>
      <c r="I59" s="285"/>
      <c r="J59" s="286"/>
      <c r="K59" s="286"/>
      <c r="L59" s="330"/>
      <c r="M59" s="285"/>
      <c r="N59" s="286"/>
      <c r="O59" s="330"/>
      <c r="P59" s="285"/>
      <c r="Q59" s="286"/>
      <c r="R59" s="330"/>
      <c r="S59" s="285"/>
      <c r="T59" s="286"/>
      <c r="U59" s="286"/>
      <c r="V59" s="121"/>
      <c r="W59" s="128"/>
      <c r="X59" s="2"/>
      <c r="Y59" s="2"/>
      <c r="Z59" s="2"/>
      <c r="AA59" s="2"/>
      <c r="AB59" s="2"/>
      <c r="AC59" s="2"/>
      <c r="AD59" s="2"/>
    </row>
    <row r="60" spans="1:30" x14ac:dyDescent="0.25">
      <c r="A60" s="25">
        <v>1</v>
      </c>
      <c r="B60" s="148">
        <v>0</v>
      </c>
      <c r="C60" s="152" t="s">
        <v>53</v>
      </c>
      <c r="D60" s="350">
        <f>Eligibility!D67</f>
        <v>15650</v>
      </c>
      <c r="E60" s="351"/>
      <c r="F60" s="148">
        <f>D60+1</f>
        <v>15651</v>
      </c>
      <c r="G60" s="152" t="s">
        <v>53</v>
      </c>
      <c r="H60" s="149">
        <f t="shared" ref="H60:H67" si="0">ROUND(D60*1.38,0)</f>
        <v>21597</v>
      </c>
      <c r="I60" s="148">
        <f t="shared" ref="I60:I67" si="1">H60+1</f>
        <v>21598</v>
      </c>
      <c r="J60" s="152" t="s">
        <v>53</v>
      </c>
      <c r="K60" s="300">
        <f>ROUND(D60*1.5,0)</f>
        <v>23475</v>
      </c>
      <c r="L60" s="301"/>
      <c r="M60" s="148">
        <f>K60+1</f>
        <v>23476</v>
      </c>
      <c r="N60" s="152" t="s">
        <v>53</v>
      </c>
      <c r="O60" s="149">
        <f>ROUND(D60*2,0)</f>
        <v>31300</v>
      </c>
      <c r="P60" s="148">
        <f>O60+1</f>
        <v>31301</v>
      </c>
      <c r="Q60" s="152" t="s">
        <v>53</v>
      </c>
      <c r="R60" s="149">
        <f>ROUND(D60*3,0)</f>
        <v>46950</v>
      </c>
      <c r="S60" s="148">
        <f>R60+1</f>
        <v>46951</v>
      </c>
      <c r="T60" s="152" t="s">
        <v>53</v>
      </c>
      <c r="U60" s="148">
        <f>ROUND(D60*4,0)</f>
        <v>62600</v>
      </c>
      <c r="V60" s="153" t="s">
        <v>133</v>
      </c>
      <c r="W60" s="130">
        <f>U60</f>
        <v>62600</v>
      </c>
      <c r="X60" s="2"/>
      <c r="Y60" s="2"/>
      <c r="Z60" s="2"/>
      <c r="AA60" s="2"/>
      <c r="AB60" s="2"/>
      <c r="AC60" s="2"/>
      <c r="AD60" s="2"/>
    </row>
    <row r="61" spans="1:30" x14ac:dyDescent="0.25">
      <c r="A61" s="25">
        <v>2</v>
      </c>
      <c r="B61" s="148">
        <v>0</v>
      </c>
      <c r="C61" s="152" t="s">
        <v>53</v>
      </c>
      <c r="D61" s="300">
        <f>D60+$B$68</f>
        <v>21150</v>
      </c>
      <c r="E61" s="301"/>
      <c r="F61" s="148">
        <f t="shared" ref="F61:F67" si="2">D61+1</f>
        <v>21151</v>
      </c>
      <c r="G61" s="152" t="s">
        <v>53</v>
      </c>
      <c r="H61" s="149">
        <f t="shared" si="0"/>
        <v>29187</v>
      </c>
      <c r="I61" s="148">
        <f t="shared" si="1"/>
        <v>29188</v>
      </c>
      <c r="J61" s="152" t="s">
        <v>53</v>
      </c>
      <c r="K61" s="300">
        <f t="shared" ref="K61:K67" si="3">ROUND(D61*1.5,0)</f>
        <v>31725</v>
      </c>
      <c r="L61" s="301"/>
      <c r="M61" s="148">
        <f t="shared" ref="M61:M67" si="4">K61+1</f>
        <v>31726</v>
      </c>
      <c r="N61" s="152" t="s">
        <v>53</v>
      </c>
      <c r="O61" s="149">
        <f t="shared" ref="O61:O67" si="5">ROUND(D61*2,0)</f>
        <v>42300</v>
      </c>
      <c r="P61" s="148">
        <f t="shared" ref="P61:P67" si="6">O61+1</f>
        <v>42301</v>
      </c>
      <c r="Q61" s="152" t="s">
        <v>53</v>
      </c>
      <c r="R61" s="149">
        <f t="shared" ref="R61:R67" si="7">ROUND(D61*3,0)</f>
        <v>63450</v>
      </c>
      <c r="S61" s="148">
        <f t="shared" ref="S61:S67" si="8">R61+1</f>
        <v>63451</v>
      </c>
      <c r="T61" s="152" t="s">
        <v>53</v>
      </c>
      <c r="U61" s="148">
        <f t="shared" ref="U61:U67" si="9">ROUND(D61*4,0)</f>
        <v>84600</v>
      </c>
      <c r="V61" s="153" t="s">
        <v>133</v>
      </c>
      <c r="W61" s="130">
        <f t="shared" ref="W61:W69" si="10">U61</f>
        <v>84600</v>
      </c>
      <c r="X61" s="2"/>
      <c r="Y61" s="2"/>
      <c r="Z61" s="2"/>
      <c r="AA61" s="2"/>
      <c r="AB61" s="2"/>
      <c r="AC61" s="2"/>
      <c r="AD61" s="2"/>
    </row>
    <row r="62" spans="1:30" x14ac:dyDescent="0.25">
      <c r="A62" s="25">
        <v>3</v>
      </c>
      <c r="B62" s="148">
        <v>0</v>
      </c>
      <c r="C62" s="152" t="s">
        <v>53</v>
      </c>
      <c r="D62" s="300">
        <f t="shared" ref="D62:D67" si="11">D61+$B$68</f>
        <v>26650</v>
      </c>
      <c r="E62" s="301"/>
      <c r="F62" s="148">
        <f t="shared" si="2"/>
        <v>26651</v>
      </c>
      <c r="G62" s="152" t="s">
        <v>53</v>
      </c>
      <c r="H62" s="149">
        <f t="shared" si="0"/>
        <v>36777</v>
      </c>
      <c r="I62" s="148">
        <f t="shared" si="1"/>
        <v>36778</v>
      </c>
      <c r="J62" s="152" t="s">
        <v>53</v>
      </c>
      <c r="K62" s="300">
        <f t="shared" si="3"/>
        <v>39975</v>
      </c>
      <c r="L62" s="301"/>
      <c r="M62" s="148">
        <f t="shared" si="4"/>
        <v>39976</v>
      </c>
      <c r="N62" s="152" t="s">
        <v>53</v>
      </c>
      <c r="O62" s="149">
        <f t="shared" si="5"/>
        <v>53300</v>
      </c>
      <c r="P62" s="148">
        <f t="shared" si="6"/>
        <v>53301</v>
      </c>
      <c r="Q62" s="152" t="s">
        <v>53</v>
      </c>
      <c r="R62" s="149">
        <f t="shared" si="7"/>
        <v>79950</v>
      </c>
      <c r="S62" s="148">
        <f t="shared" si="8"/>
        <v>79951</v>
      </c>
      <c r="T62" s="152" t="s">
        <v>53</v>
      </c>
      <c r="U62" s="148">
        <f t="shared" si="9"/>
        <v>106600</v>
      </c>
      <c r="V62" s="153" t="s">
        <v>133</v>
      </c>
      <c r="W62" s="130">
        <f t="shared" si="10"/>
        <v>106600</v>
      </c>
      <c r="X62" s="11"/>
      <c r="Y62" s="11"/>
      <c r="Z62" s="11"/>
      <c r="AA62" s="11"/>
      <c r="AB62" s="11"/>
      <c r="AC62" s="11"/>
      <c r="AD62" s="11"/>
    </row>
    <row r="63" spans="1:30" x14ac:dyDescent="0.25">
      <c r="A63" s="25">
        <v>4</v>
      </c>
      <c r="B63" s="148">
        <v>0</v>
      </c>
      <c r="C63" s="152" t="s">
        <v>53</v>
      </c>
      <c r="D63" s="300">
        <f t="shared" si="11"/>
        <v>32150</v>
      </c>
      <c r="E63" s="301"/>
      <c r="F63" s="148">
        <f t="shared" si="2"/>
        <v>32151</v>
      </c>
      <c r="G63" s="152" t="s">
        <v>53</v>
      </c>
      <c r="H63" s="149">
        <f t="shared" si="0"/>
        <v>44367</v>
      </c>
      <c r="I63" s="148">
        <f t="shared" si="1"/>
        <v>44368</v>
      </c>
      <c r="J63" s="152" t="s">
        <v>53</v>
      </c>
      <c r="K63" s="300">
        <f t="shared" si="3"/>
        <v>48225</v>
      </c>
      <c r="L63" s="301"/>
      <c r="M63" s="148">
        <f t="shared" si="4"/>
        <v>48226</v>
      </c>
      <c r="N63" s="152" t="s">
        <v>53</v>
      </c>
      <c r="O63" s="149">
        <f t="shared" si="5"/>
        <v>64300</v>
      </c>
      <c r="P63" s="148">
        <f t="shared" si="6"/>
        <v>64301</v>
      </c>
      <c r="Q63" s="152" t="s">
        <v>53</v>
      </c>
      <c r="R63" s="149">
        <f t="shared" si="7"/>
        <v>96450</v>
      </c>
      <c r="S63" s="148">
        <f t="shared" si="8"/>
        <v>96451</v>
      </c>
      <c r="T63" s="152" t="s">
        <v>53</v>
      </c>
      <c r="U63" s="148">
        <f t="shared" si="9"/>
        <v>128600</v>
      </c>
      <c r="V63" s="153" t="s">
        <v>133</v>
      </c>
      <c r="W63" s="130">
        <f t="shared" si="10"/>
        <v>128600</v>
      </c>
      <c r="X63" s="2"/>
      <c r="Y63" s="2"/>
      <c r="Z63" s="2"/>
      <c r="AA63" s="2"/>
      <c r="AB63" s="2"/>
      <c r="AC63" s="2"/>
      <c r="AD63" s="2"/>
    </row>
    <row r="64" spans="1:30" x14ac:dyDescent="0.25">
      <c r="A64" s="25">
        <v>5</v>
      </c>
      <c r="B64" s="148">
        <v>0</v>
      </c>
      <c r="C64" s="152" t="s">
        <v>53</v>
      </c>
      <c r="D64" s="300">
        <f t="shared" si="11"/>
        <v>37650</v>
      </c>
      <c r="E64" s="301"/>
      <c r="F64" s="148">
        <f t="shared" si="2"/>
        <v>37651</v>
      </c>
      <c r="G64" s="152" t="s">
        <v>53</v>
      </c>
      <c r="H64" s="149">
        <f t="shared" si="0"/>
        <v>51957</v>
      </c>
      <c r="I64" s="148">
        <f t="shared" si="1"/>
        <v>51958</v>
      </c>
      <c r="J64" s="152" t="s">
        <v>53</v>
      </c>
      <c r="K64" s="300">
        <f t="shared" si="3"/>
        <v>56475</v>
      </c>
      <c r="L64" s="301"/>
      <c r="M64" s="148">
        <f t="shared" si="4"/>
        <v>56476</v>
      </c>
      <c r="N64" s="152" t="s">
        <v>53</v>
      </c>
      <c r="O64" s="149">
        <f t="shared" si="5"/>
        <v>75300</v>
      </c>
      <c r="P64" s="148">
        <f t="shared" si="6"/>
        <v>75301</v>
      </c>
      <c r="Q64" s="152" t="s">
        <v>53</v>
      </c>
      <c r="R64" s="149">
        <f t="shared" si="7"/>
        <v>112950</v>
      </c>
      <c r="S64" s="148">
        <f t="shared" si="8"/>
        <v>112951</v>
      </c>
      <c r="T64" s="152" t="s">
        <v>53</v>
      </c>
      <c r="U64" s="148">
        <f t="shared" si="9"/>
        <v>150600</v>
      </c>
      <c r="V64" s="153" t="s">
        <v>133</v>
      </c>
      <c r="W64" s="130">
        <f t="shared" si="10"/>
        <v>150600</v>
      </c>
    </row>
    <row r="65" spans="1:23" x14ac:dyDescent="0.25">
      <c r="A65" s="25">
        <v>6</v>
      </c>
      <c r="B65" s="148">
        <v>0</v>
      </c>
      <c r="C65" s="152" t="s">
        <v>53</v>
      </c>
      <c r="D65" s="300">
        <f t="shared" si="11"/>
        <v>43150</v>
      </c>
      <c r="E65" s="301"/>
      <c r="F65" s="148">
        <f t="shared" si="2"/>
        <v>43151</v>
      </c>
      <c r="G65" s="152" t="s">
        <v>53</v>
      </c>
      <c r="H65" s="149">
        <f t="shared" si="0"/>
        <v>59547</v>
      </c>
      <c r="I65" s="148">
        <f t="shared" si="1"/>
        <v>59548</v>
      </c>
      <c r="J65" s="152" t="s">
        <v>53</v>
      </c>
      <c r="K65" s="300">
        <f t="shared" si="3"/>
        <v>64725</v>
      </c>
      <c r="L65" s="301"/>
      <c r="M65" s="148">
        <f t="shared" si="4"/>
        <v>64726</v>
      </c>
      <c r="N65" s="152" t="s">
        <v>53</v>
      </c>
      <c r="O65" s="149">
        <f t="shared" si="5"/>
        <v>86300</v>
      </c>
      <c r="P65" s="148">
        <f t="shared" si="6"/>
        <v>86301</v>
      </c>
      <c r="Q65" s="152" t="s">
        <v>53</v>
      </c>
      <c r="R65" s="149">
        <f t="shared" si="7"/>
        <v>129450</v>
      </c>
      <c r="S65" s="148">
        <f t="shared" si="8"/>
        <v>129451</v>
      </c>
      <c r="T65" s="152" t="s">
        <v>53</v>
      </c>
      <c r="U65" s="148">
        <f t="shared" si="9"/>
        <v>172600</v>
      </c>
      <c r="V65" s="153" t="s">
        <v>133</v>
      </c>
      <c r="W65" s="130">
        <f t="shared" si="10"/>
        <v>172600</v>
      </c>
    </row>
    <row r="66" spans="1:23" x14ac:dyDescent="0.25">
      <c r="A66" s="25">
        <v>7</v>
      </c>
      <c r="B66" s="148">
        <v>0</v>
      </c>
      <c r="C66" s="152" t="s">
        <v>53</v>
      </c>
      <c r="D66" s="300">
        <f t="shared" si="11"/>
        <v>48650</v>
      </c>
      <c r="E66" s="301"/>
      <c r="F66" s="148">
        <f t="shared" si="2"/>
        <v>48651</v>
      </c>
      <c r="G66" s="152" t="s">
        <v>53</v>
      </c>
      <c r="H66" s="149">
        <f t="shared" si="0"/>
        <v>67137</v>
      </c>
      <c r="I66" s="148">
        <f t="shared" si="1"/>
        <v>67138</v>
      </c>
      <c r="J66" s="152" t="s">
        <v>53</v>
      </c>
      <c r="K66" s="300">
        <f t="shared" si="3"/>
        <v>72975</v>
      </c>
      <c r="L66" s="301"/>
      <c r="M66" s="148">
        <f t="shared" si="4"/>
        <v>72976</v>
      </c>
      <c r="N66" s="152" t="s">
        <v>53</v>
      </c>
      <c r="O66" s="149">
        <f t="shared" si="5"/>
        <v>97300</v>
      </c>
      <c r="P66" s="148">
        <f t="shared" si="6"/>
        <v>97301</v>
      </c>
      <c r="Q66" s="152" t="s">
        <v>53</v>
      </c>
      <c r="R66" s="149">
        <f t="shared" si="7"/>
        <v>145950</v>
      </c>
      <c r="S66" s="148">
        <f t="shared" si="8"/>
        <v>145951</v>
      </c>
      <c r="T66" s="152" t="s">
        <v>53</v>
      </c>
      <c r="U66" s="148">
        <f t="shared" si="9"/>
        <v>194600</v>
      </c>
      <c r="V66" s="153" t="s">
        <v>133</v>
      </c>
      <c r="W66" s="130">
        <f t="shared" si="10"/>
        <v>194600</v>
      </c>
    </row>
    <row r="67" spans="1:23" x14ac:dyDescent="0.25">
      <c r="A67" s="25">
        <v>8</v>
      </c>
      <c r="B67" s="148">
        <v>0</v>
      </c>
      <c r="C67" s="152" t="s">
        <v>53</v>
      </c>
      <c r="D67" s="300">
        <f t="shared" si="11"/>
        <v>54150</v>
      </c>
      <c r="E67" s="301"/>
      <c r="F67" s="148">
        <f t="shared" si="2"/>
        <v>54151</v>
      </c>
      <c r="G67" s="152" t="s">
        <v>53</v>
      </c>
      <c r="H67" s="149">
        <f t="shared" si="0"/>
        <v>74727</v>
      </c>
      <c r="I67" s="148">
        <f t="shared" si="1"/>
        <v>74728</v>
      </c>
      <c r="J67" s="152" t="s">
        <v>53</v>
      </c>
      <c r="K67" s="300">
        <f t="shared" si="3"/>
        <v>81225</v>
      </c>
      <c r="L67" s="301"/>
      <c r="M67" s="148">
        <f t="shared" si="4"/>
        <v>81226</v>
      </c>
      <c r="N67" s="152" t="s">
        <v>53</v>
      </c>
      <c r="O67" s="149">
        <f t="shared" si="5"/>
        <v>108300</v>
      </c>
      <c r="P67" s="148">
        <f t="shared" si="6"/>
        <v>108301</v>
      </c>
      <c r="Q67" s="152" t="s">
        <v>53</v>
      </c>
      <c r="R67" s="149">
        <f t="shared" si="7"/>
        <v>162450</v>
      </c>
      <c r="S67" s="148">
        <f t="shared" si="8"/>
        <v>162451</v>
      </c>
      <c r="T67" s="152" t="s">
        <v>53</v>
      </c>
      <c r="U67" s="148">
        <f t="shared" si="9"/>
        <v>216600</v>
      </c>
      <c r="V67" s="153" t="s">
        <v>133</v>
      </c>
      <c r="W67" s="130">
        <f t="shared" si="10"/>
        <v>216600</v>
      </c>
    </row>
    <row r="68" spans="1:23" ht="25" x14ac:dyDescent="0.25">
      <c r="A68" s="26" t="s">
        <v>22</v>
      </c>
      <c r="B68" s="331">
        <f>Eligibility!B75</f>
        <v>5500</v>
      </c>
      <c r="C68" s="332"/>
      <c r="D68" s="332"/>
      <c r="E68" s="333"/>
      <c r="F68" s="362">
        <f>H61-H60</f>
        <v>7590</v>
      </c>
      <c r="G68" s="363"/>
      <c r="H68" s="364"/>
      <c r="I68" s="362">
        <f>K61-K60</f>
        <v>8250</v>
      </c>
      <c r="J68" s="363"/>
      <c r="K68" s="363"/>
      <c r="L68" s="364"/>
      <c r="M68" s="362">
        <f>O61-O60</f>
        <v>11000</v>
      </c>
      <c r="N68" s="363"/>
      <c r="O68" s="364"/>
      <c r="P68" s="362">
        <f>R61-R60</f>
        <v>16500</v>
      </c>
      <c r="Q68" s="363"/>
      <c r="R68" s="364"/>
      <c r="S68" s="362">
        <f>U61-U60</f>
        <v>22000</v>
      </c>
      <c r="T68" s="363"/>
      <c r="U68" s="363"/>
      <c r="V68" s="273">
        <f>S68</f>
        <v>22000</v>
      </c>
      <c r="W68" s="274"/>
    </row>
    <row r="69" spans="1:23" x14ac:dyDescent="0.25">
      <c r="A69" s="106" t="str">
        <f>IF(R5&lt;=8,"Income level for 8+",R5)</f>
        <v>Income level for 8+</v>
      </c>
      <c r="B69" s="152" t="str">
        <f>IF($R$5&gt;8,0,"")</f>
        <v/>
      </c>
      <c r="C69" s="152" t="str">
        <f>IF($R$5&gt;8,"-","")</f>
        <v/>
      </c>
      <c r="D69" s="300" t="str">
        <f>IF($R$5&gt;8,D67+(B68*($R$5-8)),"")</f>
        <v/>
      </c>
      <c r="E69" s="301"/>
      <c r="F69" s="148" t="str">
        <f>IF($R$5&gt;8,D69+1,"")</f>
        <v/>
      </c>
      <c r="G69" s="152" t="str">
        <f>IF($R$5&gt;8,"-","")</f>
        <v/>
      </c>
      <c r="H69" s="149" t="str">
        <f>IF($R$5&gt;8,H67+(F68*($R$5-8)),"")</f>
        <v/>
      </c>
      <c r="I69" s="148" t="str">
        <f>IF($R$5&gt;8,H69+1,"")</f>
        <v/>
      </c>
      <c r="J69" s="152" t="str">
        <f>IF($R$5&gt;8,"-","")</f>
        <v/>
      </c>
      <c r="K69" s="300" t="str">
        <f>IF($R$5&gt;8,K67+(I68*($R$5-8)),"")</f>
        <v/>
      </c>
      <c r="L69" s="301"/>
      <c r="M69" s="148" t="str">
        <f>IF($R$5&gt;8,K69+1,"")</f>
        <v/>
      </c>
      <c r="N69" s="152" t="str">
        <f>IF($R$5&gt;8,"-","")</f>
        <v/>
      </c>
      <c r="O69" s="148" t="str">
        <f>IF($R$5&gt;8,O67+(M68*($R$5-8)),"")</f>
        <v/>
      </c>
      <c r="P69" s="105" t="str">
        <f>IF($R$5&gt;8,O69+1,"")</f>
        <v/>
      </c>
      <c r="Q69" s="152" t="str">
        <f>IF($R$5&gt;8,"-","")</f>
        <v/>
      </c>
      <c r="R69" s="148" t="str">
        <f>IF($R$5&gt;8,R67+(P68*($R$5-8)),"")</f>
        <v/>
      </c>
      <c r="S69" s="105" t="str">
        <f>IF($R$5&gt;8,R69+1,"")</f>
        <v/>
      </c>
      <c r="T69" s="152" t="str">
        <f>IF($R$5&gt;8,"-","")</f>
        <v/>
      </c>
      <c r="U69" s="148" t="str">
        <f>IF($R$5&gt;8,U67+(S68*($R$5-8)),"")</f>
        <v/>
      </c>
      <c r="V69" s="153" t="str">
        <f>IF(R5&gt;8,"&gt;","")</f>
        <v/>
      </c>
      <c r="W69" s="130" t="str">
        <f t="shared" si="10"/>
        <v/>
      </c>
    </row>
    <row r="70" spans="1:23" ht="13" thickBot="1" x14ac:dyDescent="0.3">
      <c r="A70" s="23"/>
      <c r="B70" s="54"/>
      <c r="C70" s="54"/>
      <c r="D70" s="54"/>
      <c r="E70" s="27"/>
      <c r="F70" s="54"/>
      <c r="G70" s="54"/>
      <c r="H70" s="27"/>
      <c r="I70" s="54"/>
      <c r="J70" s="54"/>
      <c r="K70" s="54"/>
      <c r="L70" s="27"/>
      <c r="M70" s="54"/>
      <c r="N70" s="54"/>
      <c r="O70" s="27"/>
      <c r="P70" s="54"/>
      <c r="Q70" s="54"/>
      <c r="R70" s="27"/>
      <c r="S70" s="54"/>
      <c r="T70" s="54"/>
      <c r="U70" s="54"/>
      <c r="V70" s="129"/>
      <c r="W70" s="20"/>
    </row>
    <row r="71" spans="1:23" ht="13" thickTop="1" x14ac:dyDescent="0.25"/>
    <row r="72" spans="1:23" x14ac:dyDescent="0.25">
      <c r="A72" s="194" t="str">
        <f>Eligibility!A79</f>
        <v>based on 2025 HHS FPL Guidelines (https://aspe.hhs.gov/topics/poverty-economic-mobility/poverty-guidelines)</v>
      </c>
      <c r="B72" s="6"/>
      <c r="C72" s="6"/>
    </row>
    <row r="73" spans="1:23" x14ac:dyDescent="0.25">
      <c r="A73" s="6"/>
      <c r="B73" s="6"/>
      <c r="C73" s="6"/>
    </row>
    <row r="74" spans="1:23" x14ac:dyDescent="0.25">
      <c r="A74" s="6"/>
      <c r="B74" s="6"/>
      <c r="C74" s="6"/>
    </row>
    <row r="75" spans="1:23" ht="18" thickBot="1" x14ac:dyDescent="0.55000000000000004">
      <c r="A75" s="328"/>
      <c r="B75" s="328"/>
      <c r="C75" s="328"/>
      <c r="D75" s="328"/>
      <c r="K75" s="328"/>
      <c r="L75" s="328"/>
      <c r="M75" s="328"/>
      <c r="N75" s="328"/>
      <c r="O75" s="223"/>
      <c r="U75" s="63" t="str">
        <f>U38</f>
        <v>created 11/12</v>
      </c>
    </row>
    <row r="76" spans="1:23" x14ac:dyDescent="0.25">
      <c r="A76" s="6" t="s">
        <v>38</v>
      </c>
      <c r="B76" s="6"/>
      <c r="C76" s="6"/>
      <c r="K76" s="6" t="s">
        <v>39</v>
      </c>
    </row>
  </sheetData>
  <sheetProtection sheet="1" objects="1" scenarios="1"/>
  <mergeCells count="188">
    <mergeCell ref="O5:Q5"/>
    <mergeCell ref="M68:O68"/>
    <mergeCell ref="P68:R68"/>
    <mergeCell ref="S68:U68"/>
    <mergeCell ref="D69:E69"/>
    <mergeCell ref="K69:L69"/>
    <mergeCell ref="D63:E63"/>
    <mergeCell ref="K63:L63"/>
    <mergeCell ref="D64:E64"/>
    <mergeCell ref="K64:L64"/>
    <mergeCell ref="D65:E65"/>
    <mergeCell ref="K65:L65"/>
    <mergeCell ref="D60:E60"/>
    <mergeCell ref="K60:L60"/>
    <mergeCell ref="D61:E61"/>
    <mergeCell ref="K61:L61"/>
    <mergeCell ref="D62:E62"/>
    <mergeCell ref="K62:L62"/>
    <mergeCell ref="B59:E59"/>
    <mergeCell ref="F59:H59"/>
    <mergeCell ref="I59:L59"/>
    <mergeCell ref="M59:O59"/>
    <mergeCell ref="P59:R59"/>
    <mergeCell ref="S59:U59"/>
    <mergeCell ref="D66:E66"/>
    <mergeCell ref="K66:L66"/>
    <mergeCell ref="D67:E67"/>
    <mergeCell ref="K67:L67"/>
    <mergeCell ref="B68:E68"/>
    <mergeCell ref="F68:H68"/>
    <mergeCell ref="I68:L68"/>
    <mergeCell ref="A75:D75"/>
    <mergeCell ref="K75:N75"/>
    <mergeCell ref="M58:O58"/>
    <mergeCell ref="P58:R58"/>
    <mergeCell ref="S58:U58"/>
    <mergeCell ref="B57:E57"/>
    <mergeCell ref="F57:H57"/>
    <mergeCell ref="I57:L57"/>
    <mergeCell ref="M57:O57"/>
    <mergeCell ref="P57:R57"/>
    <mergeCell ref="S57:U57"/>
    <mergeCell ref="H41:K41"/>
    <mergeCell ref="B58:E58"/>
    <mergeCell ref="F58:H58"/>
    <mergeCell ref="I58:L58"/>
    <mergeCell ref="F56:H56"/>
    <mergeCell ref="I56:L56"/>
    <mergeCell ref="B46:D46"/>
    <mergeCell ref="F46:H46"/>
    <mergeCell ref="B48:D48"/>
    <mergeCell ref="A41:D41"/>
    <mergeCell ref="I46:K46"/>
    <mergeCell ref="P22:R22"/>
    <mergeCell ref="K37:P37"/>
    <mergeCell ref="U40:V40"/>
    <mergeCell ref="M56:O56"/>
    <mergeCell ref="P56:R56"/>
    <mergeCell ref="S56:U56"/>
    <mergeCell ref="B56:E56"/>
    <mergeCell ref="S54:U54"/>
    <mergeCell ref="B54:E54"/>
    <mergeCell ref="F55:H55"/>
    <mergeCell ref="I55:L55"/>
    <mergeCell ref="M55:O55"/>
    <mergeCell ref="P55:R55"/>
    <mergeCell ref="S55:U55"/>
    <mergeCell ref="B55:E55"/>
    <mergeCell ref="P54:R54"/>
    <mergeCell ref="I54:L54"/>
    <mergeCell ref="M54:O54"/>
    <mergeCell ref="B50:D50"/>
    <mergeCell ref="F50:H50"/>
    <mergeCell ref="I50:K50"/>
    <mergeCell ref="B52:D52"/>
    <mergeCell ref="F52:H52"/>
    <mergeCell ref="I52:K52"/>
    <mergeCell ref="U41:V41"/>
    <mergeCell ref="B20:E20"/>
    <mergeCell ref="F20:H20"/>
    <mergeCell ref="I20:L20"/>
    <mergeCell ref="M20:O20"/>
    <mergeCell ref="P20:R20"/>
    <mergeCell ref="S20:U20"/>
    <mergeCell ref="B19:E19"/>
    <mergeCell ref="F19:H19"/>
    <mergeCell ref="I19:L19"/>
    <mergeCell ref="M19:O19"/>
    <mergeCell ref="P19:R19"/>
    <mergeCell ref="S19:U19"/>
    <mergeCell ref="S22:U22"/>
    <mergeCell ref="B24:E24"/>
    <mergeCell ref="I24:K24"/>
    <mergeCell ref="A37:D37"/>
    <mergeCell ref="A40:D40"/>
    <mergeCell ref="H40:K40"/>
    <mergeCell ref="M24:P24"/>
    <mergeCell ref="B22:E22"/>
    <mergeCell ref="F22:H22"/>
    <mergeCell ref="I22:L22"/>
    <mergeCell ref="M22:O22"/>
    <mergeCell ref="B10:E10"/>
    <mergeCell ref="F10:H10"/>
    <mergeCell ref="I10:L10"/>
    <mergeCell ref="M10:O10"/>
    <mergeCell ref="P10:R10"/>
    <mergeCell ref="B18:E18"/>
    <mergeCell ref="F18:H18"/>
    <mergeCell ref="I18:L18"/>
    <mergeCell ref="M18:O18"/>
    <mergeCell ref="P18:R18"/>
    <mergeCell ref="B12:E12"/>
    <mergeCell ref="F12:H12"/>
    <mergeCell ref="I12:L12"/>
    <mergeCell ref="M12:O12"/>
    <mergeCell ref="P12:R12"/>
    <mergeCell ref="B17:E17"/>
    <mergeCell ref="F17:H17"/>
    <mergeCell ref="I17:L17"/>
    <mergeCell ref="M17:O17"/>
    <mergeCell ref="P17:R17"/>
    <mergeCell ref="B16:E16"/>
    <mergeCell ref="F16:H16"/>
    <mergeCell ref="I16:L16"/>
    <mergeCell ref="M16:O16"/>
    <mergeCell ref="B11:E11"/>
    <mergeCell ref="F11:H11"/>
    <mergeCell ref="I11:L11"/>
    <mergeCell ref="M11:O11"/>
    <mergeCell ref="P11:R11"/>
    <mergeCell ref="F15:H15"/>
    <mergeCell ref="I15:L15"/>
    <mergeCell ref="M15:O15"/>
    <mergeCell ref="P15:R15"/>
    <mergeCell ref="B13:E13"/>
    <mergeCell ref="F13:H13"/>
    <mergeCell ref="I13:L13"/>
    <mergeCell ref="M13:O13"/>
    <mergeCell ref="P13:R13"/>
    <mergeCell ref="B14:E14"/>
    <mergeCell ref="F14:H14"/>
    <mergeCell ref="I14:L14"/>
    <mergeCell ref="M14:O14"/>
    <mergeCell ref="P14:R14"/>
    <mergeCell ref="F9:H9"/>
    <mergeCell ref="I9:L9"/>
    <mergeCell ref="M9:O9"/>
    <mergeCell ref="P9:R9"/>
    <mergeCell ref="S9:U9"/>
    <mergeCell ref="F7:H8"/>
    <mergeCell ref="I7:L8"/>
    <mergeCell ref="M7:O8"/>
    <mergeCell ref="P7:R8"/>
    <mergeCell ref="S7:U7"/>
    <mergeCell ref="S8:U8"/>
    <mergeCell ref="S12:U12"/>
    <mergeCell ref="S15:U15"/>
    <mergeCell ref="S14:U14"/>
    <mergeCell ref="S13:U13"/>
    <mergeCell ref="S11:U11"/>
    <mergeCell ref="S18:U18"/>
    <mergeCell ref="S16:U16"/>
    <mergeCell ref="S17:U17"/>
    <mergeCell ref="P16:R16"/>
    <mergeCell ref="M50:P50"/>
    <mergeCell ref="Q50:S50"/>
    <mergeCell ref="B9:E9"/>
    <mergeCell ref="S10:U10"/>
    <mergeCell ref="O2:P2"/>
    <mergeCell ref="O1:P1"/>
    <mergeCell ref="O40:P40"/>
    <mergeCell ref="O41:P41"/>
    <mergeCell ref="V68:W68"/>
    <mergeCell ref="B15:E15"/>
    <mergeCell ref="A1:D1"/>
    <mergeCell ref="H1:K1"/>
    <mergeCell ref="S1:U1"/>
    <mergeCell ref="A2:D2"/>
    <mergeCell ref="H2:K2"/>
    <mergeCell ref="S2:U2"/>
    <mergeCell ref="B7:E8"/>
    <mergeCell ref="F48:H48"/>
    <mergeCell ref="I48:K48"/>
    <mergeCell ref="V54:W54"/>
    <mergeCell ref="V55:W55"/>
    <mergeCell ref="V56:W56"/>
    <mergeCell ref="V58:W58"/>
    <mergeCell ref="F54:H54"/>
  </mergeCells>
  <phoneticPr fontId="0" type="noConversion"/>
  <conditionalFormatting sqref="B60">
    <cfRule type="expression" dxfId="189" priority="1" stopIfTrue="1">
      <formula>AND(B52="Cat 1",R5=1)</formula>
    </cfRule>
  </conditionalFormatting>
  <conditionalFormatting sqref="B61">
    <cfRule type="expression" dxfId="188" priority="4" stopIfTrue="1">
      <formula>AND(B52="Cat 1",R5=2)</formula>
    </cfRule>
  </conditionalFormatting>
  <conditionalFormatting sqref="B62">
    <cfRule type="expression" dxfId="187" priority="7" stopIfTrue="1">
      <formula>AND(B52="Cat 1",R5=3)</formula>
    </cfRule>
  </conditionalFormatting>
  <conditionalFormatting sqref="B63">
    <cfRule type="expression" dxfId="186" priority="10" stopIfTrue="1">
      <formula>AND(B52="Cat 1",R5=4)</formula>
    </cfRule>
  </conditionalFormatting>
  <conditionalFormatting sqref="B64">
    <cfRule type="expression" dxfId="185" priority="13" stopIfTrue="1">
      <formula>AND(B52="Cat 1",R5=5)</formula>
    </cfRule>
  </conditionalFormatting>
  <conditionalFormatting sqref="B65">
    <cfRule type="expression" dxfId="184" priority="16" stopIfTrue="1">
      <formula>AND(B52="Cat 1",R5=6)</formula>
    </cfRule>
  </conditionalFormatting>
  <conditionalFormatting sqref="B66">
    <cfRule type="expression" dxfId="183" priority="19" stopIfTrue="1">
      <formula>AND(B52="Cat 1",R5=7)</formula>
    </cfRule>
  </conditionalFormatting>
  <conditionalFormatting sqref="B67">
    <cfRule type="expression" dxfId="182" priority="22" stopIfTrue="1">
      <formula>AND(B52="Cat 1",R5=8)</formula>
    </cfRule>
  </conditionalFormatting>
  <conditionalFormatting sqref="B69">
    <cfRule type="expression" dxfId="181" priority="163" stopIfTrue="1">
      <formula>AND(B52="Cat 1",R5&gt;8)</formula>
    </cfRule>
  </conditionalFormatting>
  <conditionalFormatting sqref="C60">
    <cfRule type="expression" dxfId="180" priority="2" stopIfTrue="1">
      <formula>AND(B52="Cat 1",R5=1)</formula>
    </cfRule>
  </conditionalFormatting>
  <conditionalFormatting sqref="C61">
    <cfRule type="expression" dxfId="179" priority="5" stopIfTrue="1">
      <formula>AND(B52="Cat 1",R5=2)</formula>
    </cfRule>
  </conditionalFormatting>
  <conditionalFormatting sqref="C62">
    <cfRule type="expression" dxfId="178" priority="8" stopIfTrue="1">
      <formula>AND(B52="Cat 1",R5=3)</formula>
    </cfRule>
  </conditionalFormatting>
  <conditionalFormatting sqref="C63">
    <cfRule type="expression" dxfId="177" priority="11" stopIfTrue="1">
      <formula>AND(B52="Cat 1",R5=4)</formula>
    </cfRule>
  </conditionalFormatting>
  <conditionalFormatting sqref="C64">
    <cfRule type="expression" dxfId="176" priority="14" stopIfTrue="1">
      <formula>AND(B52="Cat 1",R5=5)</formula>
    </cfRule>
  </conditionalFormatting>
  <conditionalFormatting sqref="C65">
    <cfRule type="expression" dxfId="175" priority="17" stopIfTrue="1">
      <formula>AND(B52="Cat 1",R5=6)</formula>
    </cfRule>
  </conditionalFormatting>
  <conditionalFormatting sqref="C66">
    <cfRule type="expression" dxfId="174" priority="20" stopIfTrue="1">
      <formula>AND(B52="Cat 1",R5=7)</formula>
    </cfRule>
  </conditionalFormatting>
  <conditionalFormatting sqref="C67">
    <cfRule type="expression" dxfId="173" priority="23" stopIfTrue="1">
      <formula>AND(B52="Cat 1",R5=8)</formula>
    </cfRule>
  </conditionalFormatting>
  <conditionalFormatting sqref="C69">
    <cfRule type="expression" dxfId="172" priority="164" stopIfTrue="1">
      <formula>AND(B52="Cat 1",R5&gt;8)</formula>
    </cfRule>
  </conditionalFormatting>
  <conditionalFormatting sqref="D60:E60">
    <cfRule type="expression" dxfId="171" priority="3" stopIfTrue="1">
      <formula>AND(B52="Cat 1",R5=1)</formula>
    </cfRule>
  </conditionalFormatting>
  <conditionalFormatting sqref="D61:E61">
    <cfRule type="expression" dxfId="170" priority="6" stopIfTrue="1">
      <formula>AND(B52="Cat 1",R5=2)</formula>
    </cfRule>
  </conditionalFormatting>
  <conditionalFormatting sqref="D62:E62">
    <cfRule type="expression" dxfId="169" priority="9" stopIfTrue="1">
      <formula>AND(B52="Cat 1",R5=3)</formula>
    </cfRule>
  </conditionalFormatting>
  <conditionalFormatting sqref="D63:E63">
    <cfRule type="expression" dxfId="168" priority="12" stopIfTrue="1">
      <formula>AND(B52="Cat 1",R5=4)</formula>
    </cfRule>
  </conditionalFormatting>
  <conditionalFormatting sqref="D64:E64">
    <cfRule type="expression" dxfId="167" priority="15" stopIfTrue="1">
      <formula>AND(B52="Cat 1",R5=5)</formula>
    </cfRule>
  </conditionalFormatting>
  <conditionalFormatting sqref="D65:E65">
    <cfRule type="expression" dxfId="166" priority="18" stopIfTrue="1">
      <formula>AND(B52="Cat 1",R5=6)</formula>
    </cfRule>
  </conditionalFormatting>
  <conditionalFormatting sqref="D66:E66">
    <cfRule type="expression" dxfId="165" priority="21" stopIfTrue="1">
      <formula>AND(B52="Cat 1",R5=7)</formula>
    </cfRule>
  </conditionalFormatting>
  <conditionalFormatting sqref="D67:E67">
    <cfRule type="expression" dxfId="164" priority="24" stopIfTrue="1">
      <formula>AND(B52="Cat 1",R5=8)</formula>
    </cfRule>
  </conditionalFormatting>
  <conditionalFormatting sqref="D69:E69">
    <cfRule type="expression" dxfId="163" priority="165" stopIfTrue="1">
      <formula>AND(B52="Cat 1",R5&gt;8)</formula>
    </cfRule>
  </conditionalFormatting>
  <conditionalFormatting sqref="F60">
    <cfRule type="expression" dxfId="162" priority="25" stopIfTrue="1">
      <formula>AND(B52="Cat 2",R5=1)</formula>
    </cfRule>
  </conditionalFormatting>
  <conditionalFormatting sqref="F61">
    <cfRule type="expression" dxfId="161" priority="28" stopIfTrue="1">
      <formula>AND(B52="Cat 2",R5=2)</formula>
    </cfRule>
  </conditionalFormatting>
  <conditionalFormatting sqref="F62">
    <cfRule type="expression" dxfId="160" priority="31" stopIfTrue="1">
      <formula>AND(B52="Cat 2",R5=3)</formula>
    </cfRule>
  </conditionalFormatting>
  <conditionalFormatting sqref="F63">
    <cfRule type="expression" dxfId="159" priority="34" stopIfTrue="1">
      <formula>AND(B52="Cat 2",R5=4)</formula>
    </cfRule>
  </conditionalFormatting>
  <conditionalFormatting sqref="F64">
    <cfRule type="expression" dxfId="158" priority="37" stopIfTrue="1">
      <formula>AND(B52="Cat 2",R5=5)</formula>
    </cfRule>
  </conditionalFormatting>
  <conditionalFormatting sqref="F65">
    <cfRule type="expression" dxfId="157" priority="40" stopIfTrue="1">
      <formula>AND(B52="Cat 2",R5=6)</formula>
    </cfRule>
  </conditionalFormatting>
  <conditionalFormatting sqref="F66">
    <cfRule type="expression" dxfId="156" priority="43" stopIfTrue="1">
      <formula>AND(B52="Cat 2",R5=7)</formula>
    </cfRule>
  </conditionalFormatting>
  <conditionalFormatting sqref="F67">
    <cfRule type="expression" dxfId="155" priority="46" stopIfTrue="1">
      <formula>AND(B52="Cat 2",R5=8)</formula>
    </cfRule>
  </conditionalFormatting>
  <conditionalFormatting sqref="F69">
    <cfRule type="expression" dxfId="154" priority="166" stopIfTrue="1">
      <formula>AND(B52="Cat 2",R5&gt;8)</formula>
    </cfRule>
  </conditionalFormatting>
  <conditionalFormatting sqref="G60">
    <cfRule type="expression" dxfId="153" priority="26" stopIfTrue="1">
      <formula>AND(B52="Cat 2",R5=1)</formula>
    </cfRule>
  </conditionalFormatting>
  <conditionalFormatting sqref="G61">
    <cfRule type="expression" dxfId="152" priority="29" stopIfTrue="1">
      <formula>AND(B52="Cat 2",R5=2)</formula>
    </cfRule>
  </conditionalFormatting>
  <conditionalFormatting sqref="G62">
    <cfRule type="expression" dxfId="151" priority="32" stopIfTrue="1">
      <formula>AND(B52="Cat 2",R5=3)</formula>
    </cfRule>
  </conditionalFormatting>
  <conditionalFormatting sqref="G63">
    <cfRule type="expression" dxfId="150" priority="35" stopIfTrue="1">
      <formula>AND(B52="Cat 2",R5=4)</formula>
    </cfRule>
  </conditionalFormatting>
  <conditionalFormatting sqref="G64">
    <cfRule type="expression" dxfId="149" priority="38" stopIfTrue="1">
      <formula>AND(B52="Cat 2",R5=5)</formula>
    </cfRule>
  </conditionalFormatting>
  <conditionalFormatting sqref="G65">
    <cfRule type="expression" dxfId="148" priority="41" stopIfTrue="1">
      <formula>AND(B52="Cat 2",R5=6)</formula>
    </cfRule>
  </conditionalFormatting>
  <conditionalFormatting sqref="G66">
    <cfRule type="expression" dxfId="147" priority="44" stopIfTrue="1">
      <formula>AND(B52="Cat 2",R5=7)</formula>
    </cfRule>
  </conditionalFormatting>
  <conditionalFormatting sqref="G67">
    <cfRule type="expression" dxfId="146" priority="47" stopIfTrue="1">
      <formula>AND(B52="Cat 2",R5=8)</formula>
    </cfRule>
  </conditionalFormatting>
  <conditionalFormatting sqref="G69">
    <cfRule type="expression" dxfId="145" priority="167" stopIfTrue="1">
      <formula>AND(B52="Cat 2",R5&gt;8)</formula>
    </cfRule>
  </conditionalFormatting>
  <conditionalFormatting sqref="H60">
    <cfRule type="expression" dxfId="144" priority="27" stopIfTrue="1">
      <formula>AND(B52="Cat 2",R5=1)</formula>
    </cfRule>
  </conditionalFormatting>
  <conditionalFormatting sqref="H61">
    <cfRule type="expression" dxfId="143" priority="30" stopIfTrue="1">
      <formula>AND(B52="Cat 2",R5=2)</formula>
    </cfRule>
  </conditionalFormatting>
  <conditionalFormatting sqref="H62">
    <cfRule type="expression" dxfId="142" priority="33" stopIfTrue="1">
      <formula>AND(B52="Cat 2",R5=3)</formula>
    </cfRule>
  </conditionalFormatting>
  <conditionalFormatting sqref="H63">
    <cfRule type="expression" dxfId="141" priority="36" stopIfTrue="1">
      <formula>AND(B52="Cat 2",R5=4)</formula>
    </cfRule>
  </conditionalFormatting>
  <conditionalFormatting sqref="H64">
    <cfRule type="expression" dxfId="140" priority="39" stopIfTrue="1">
      <formula>AND(B52="Cat 2",R5=5)</formula>
    </cfRule>
  </conditionalFormatting>
  <conditionalFormatting sqref="H65">
    <cfRule type="expression" dxfId="139" priority="42" stopIfTrue="1">
      <formula>AND(B52="Cat 2",R5=6)</formula>
    </cfRule>
  </conditionalFormatting>
  <conditionalFormatting sqref="H66">
    <cfRule type="expression" dxfId="138" priority="45" stopIfTrue="1">
      <formula>AND(B52="Cat 2",R5=7)</formula>
    </cfRule>
  </conditionalFormatting>
  <conditionalFormatting sqref="H67">
    <cfRule type="expression" dxfId="137" priority="48" stopIfTrue="1">
      <formula>AND(B52="Cat 2",R5=8)</formula>
    </cfRule>
  </conditionalFormatting>
  <conditionalFormatting sqref="H69">
    <cfRule type="expression" dxfId="136" priority="168" stopIfTrue="1">
      <formula>AND(B52="Cat 2",R5&gt;8)</formula>
    </cfRule>
  </conditionalFormatting>
  <conditionalFormatting sqref="I60">
    <cfRule type="expression" dxfId="135" priority="49" stopIfTrue="1">
      <formula>AND(B52="Cat 3",R5=1)</formula>
    </cfRule>
  </conditionalFormatting>
  <conditionalFormatting sqref="I61">
    <cfRule type="expression" dxfId="134" priority="76" stopIfTrue="1">
      <formula>AND(B52="Cat 3",R5=2)</formula>
    </cfRule>
  </conditionalFormatting>
  <conditionalFormatting sqref="I62">
    <cfRule type="expression" dxfId="133" priority="77" stopIfTrue="1">
      <formula>AND(B52="Cat 3",R5=3)</formula>
    </cfRule>
  </conditionalFormatting>
  <conditionalFormatting sqref="I63">
    <cfRule type="expression" dxfId="132" priority="104" stopIfTrue="1">
      <formula>AND(B52="Cat 3",R5=4)</formula>
    </cfRule>
  </conditionalFormatting>
  <conditionalFormatting sqref="I64">
    <cfRule type="expression" dxfId="131" priority="105" stopIfTrue="1">
      <formula>AND(B52="Cat 3",R5=5)</formula>
    </cfRule>
  </conditionalFormatting>
  <conditionalFormatting sqref="I65">
    <cfRule type="expression" dxfId="130" priority="132" stopIfTrue="1">
      <formula>AND(B52="Cat 3",R5=6)</formula>
    </cfRule>
  </conditionalFormatting>
  <conditionalFormatting sqref="I66">
    <cfRule type="expression" dxfId="129" priority="133" stopIfTrue="1">
      <formula>AND(B52="Cat 3",R5=7)</formula>
    </cfRule>
  </conditionalFormatting>
  <conditionalFormatting sqref="I67">
    <cfRule type="expression" dxfId="128" priority="160" stopIfTrue="1">
      <formula>AND(B52="Cat 3",R5=8)</formula>
    </cfRule>
  </conditionalFormatting>
  <conditionalFormatting sqref="I69">
    <cfRule type="expression" dxfId="127" priority="169" stopIfTrue="1">
      <formula>AND(B52="Cat 3",R5&gt;8)</formula>
    </cfRule>
  </conditionalFormatting>
  <conditionalFormatting sqref="J60">
    <cfRule type="expression" dxfId="126" priority="50" stopIfTrue="1">
      <formula>AND(B52="Cat 3",R5=1)</formula>
    </cfRule>
  </conditionalFormatting>
  <conditionalFormatting sqref="J61">
    <cfRule type="expression" dxfId="125" priority="75" stopIfTrue="1">
      <formula>AND(B52="Cat 3",R5=2)</formula>
    </cfRule>
  </conditionalFormatting>
  <conditionalFormatting sqref="J62">
    <cfRule type="expression" dxfId="124" priority="78" stopIfTrue="1">
      <formula>AND(B52="Cat 3",R5=3)</formula>
    </cfRule>
  </conditionalFormatting>
  <conditionalFormatting sqref="J63">
    <cfRule type="expression" dxfId="123" priority="103" stopIfTrue="1">
      <formula>AND(B52="Cat 3",R5=4)</formula>
    </cfRule>
  </conditionalFormatting>
  <conditionalFormatting sqref="J64">
    <cfRule type="expression" dxfId="122" priority="106" stopIfTrue="1">
      <formula>AND(B52="Cat 3",R5=5)</formula>
    </cfRule>
  </conditionalFormatting>
  <conditionalFormatting sqref="J65">
    <cfRule type="expression" dxfId="121" priority="131" stopIfTrue="1">
      <formula>AND(B52="Cat 3",R5=6)</formula>
    </cfRule>
  </conditionalFormatting>
  <conditionalFormatting sqref="J66">
    <cfRule type="expression" dxfId="120" priority="134" stopIfTrue="1">
      <formula>AND(B52="Cat 3",R5=7)</formula>
    </cfRule>
  </conditionalFormatting>
  <conditionalFormatting sqref="J67">
    <cfRule type="expression" dxfId="119" priority="159" stopIfTrue="1">
      <formula>AND(B52="Cat 3",R5=8)</formula>
    </cfRule>
  </conditionalFormatting>
  <conditionalFormatting sqref="J69">
    <cfRule type="expression" dxfId="118" priority="170" stopIfTrue="1">
      <formula>AND(B52="Cat 3",R5&gt;8)</formula>
    </cfRule>
  </conditionalFormatting>
  <conditionalFormatting sqref="K60:L60">
    <cfRule type="expression" dxfId="117" priority="51" stopIfTrue="1">
      <formula>AND(B52="Cat 3",R5=1)</formula>
    </cfRule>
  </conditionalFormatting>
  <conditionalFormatting sqref="K61:L61">
    <cfRule type="expression" dxfId="116" priority="74" stopIfTrue="1">
      <formula>AND(B52="Cat 3",R5=2)</formula>
    </cfRule>
  </conditionalFormatting>
  <conditionalFormatting sqref="K62:L62">
    <cfRule type="expression" dxfId="115" priority="79" stopIfTrue="1">
      <formula>AND(B52="Cat 3",R5=3)</formula>
    </cfRule>
  </conditionalFormatting>
  <conditionalFormatting sqref="K63:L63">
    <cfRule type="expression" dxfId="114" priority="102" stopIfTrue="1">
      <formula>AND(B52="Cat 3",R5=4)</formula>
    </cfRule>
  </conditionalFormatting>
  <conditionalFormatting sqref="K64:L64">
    <cfRule type="expression" dxfId="113" priority="107" stopIfTrue="1">
      <formula>AND(B52="Cat 3",R5=5)</formula>
    </cfRule>
  </conditionalFormatting>
  <conditionalFormatting sqref="K65:L65">
    <cfRule type="expression" dxfId="112" priority="130" stopIfTrue="1">
      <formula>AND(B52="Cat 3",R5=6)</formula>
    </cfRule>
  </conditionalFormatting>
  <conditionalFormatting sqref="K66:L66">
    <cfRule type="expression" dxfId="111" priority="135" stopIfTrue="1">
      <formula>AND(B52="Cat 3",R5=7)</formula>
    </cfRule>
  </conditionalFormatting>
  <conditionalFormatting sqref="K67:L67">
    <cfRule type="expression" dxfId="110" priority="158" stopIfTrue="1">
      <formula>AND(B52="Cat 3",R5=8)</formula>
    </cfRule>
  </conditionalFormatting>
  <conditionalFormatting sqref="K69:L69">
    <cfRule type="expression" dxfId="109" priority="171" stopIfTrue="1">
      <formula>AND(B52="Cat 3",R5&gt;8)</formula>
    </cfRule>
  </conditionalFormatting>
  <conditionalFormatting sqref="M60">
    <cfRule type="expression" dxfId="108" priority="52" stopIfTrue="1">
      <formula>AND(B52="Cat 4",R5=1)</formula>
    </cfRule>
  </conditionalFormatting>
  <conditionalFormatting sqref="M61">
    <cfRule type="expression" dxfId="107" priority="73" stopIfTrue="1">
      <formula>AND(B52="Cat 4",R5=2)</formula>
    </cfRule>
  </conditionalFormatting>
  <conditionalFormatting sqref="M62">
    <cfRule type="expression" dxfId="106" priority="80" stopIfTrue="1">
      <formula>AND(B52="Cat 4",R5=3)</formula>
    </cfRule>
  </conditionalFormatting>
  <conditionalFormatting sqref="M63">
    <cfRule type="expression" dxfId="105" priority="101" stopIfTrue="1">
      <formula>AND(B52="Cat 4",R5=4)</formula>
    </cfRule>
  </conditionalFormatting>
  <conditionalFormatting sqref="M64">
    <cfRule type="expression" dxfId="104" priority="108" stopIfTrue="1">
      <formula>AND(B52="Cat 4",R5=5)</formula>
    </cfRule>
  </conditionalFormatting>
  <conditionalFormatting sqref="M65">
    <cfRule type="expression" dxfId="103" priority="129" stopIfTrue="1">
      <formula>AND(B52="Cat 4",R5=6)</formula>
    </cfRule>
  </conditionalFormatting>
  <conditionalFormatting sqref="M66">
    <cfRule type="expression" dxfId="102" priority="136" stopIfTrue="1">
      <formula>AND(B52="Cat 4",R5=7)</formula>
    </cfRule>
  </conditionalFormatting>
  <conditionalFormatting sqref="M67">
    <cfRule type="expression" dxfId="101" priority="157" stopIfTrue="1">
      <formula>AND(B52="Cat 4",R5=8)</formula>
    </cfRule>
  </conditionalFormatting>
  <conditionalFormatting sqref="M69">
    <cfRule type="expression" dxfId="100" priority="172" stopIfTrue="1">
      <formula>AND(B52="Cat 4",R5&gt;8)</formula>
    </cfRule>
  </conditionalFormatting>
  <conditionalFormatting sqref="N60">
    <cfRule type="expression" dxfId="99" priority="53" stopIfTrue="1">
      <formula>AND(B52="Cat 4",R5=1)</formula>
    </cfRule>
  </conditionalFormatting>
  <conditionalFormatting sqref="N61">
    <cfRule type="expression" dxfId="98" priority="72" stopIfTrue="1">
      <formula>AND(B52="Cat 4",R5=2)</formula>
    </cfRule>
  </conditionalFormatting>
  <conditionalFormatting sqref="N62">
    <cfRule type="expression" dxfId="97" priority="81" stopIfTrue="1">
      <formula>AND(B52="Cat 4",R5=3)</formula>
    </cfRule>
  </conditionalFormatting>
  <conditionalFormatting sqref="N63">
    <cfRule type="expression" dxfId="96" priority="100" stopIfTrue="1">
      <formula>AND(B52="Cat 4",R5=4)</formula>
    </cfRule>
  </conditionalFormatting>
  <conditionalFormatting sqref="N64">
    <cfRule type="expression" dxfId="95" priority="109" stopIfTrue="1">
      <formula>AND(B52="Cat 4",R5=5)</formula>
    </cfRule>
  </conditionalFormatting>
  <conditionalFormatting sqref="N65">
    <cfRule type="expression" dxfId="94" priority="128" stopIfTrue="1">
      <formula>AND(B52="Cat 4",R5=6)</formula>
    </cfRule>
  </conditionalFormatting>
  <conditionalFormatting sqref="N66">
    <cfRule type="expression" dxfId="93" priority="137" stopIfTrue="1">
      <formula>AND(B52="Cat 4",R5=7)</formula>
    </cfRule>
  </conditionalFormatting>
  <conditionalFormatting sqref="N67">
    <cfRule type="expression" dxfId="92" priority="156" stopIfTrue="1">
      <formula>AND(B52="Cat 4",R5=8)</formula>
    </cfRule>
  </conditionalFormatting>
  <conditionalFormatting sqref="N69">
    <cfRule type="expression" dxfId="91" priority="173" stopIfTrue="1">
      <formula>AND(B52="Cat 4",R5&gt;8)</formula>
    </cfRule>
  </conditionalFormatting>
  <conditionalFormatting sqref="O60">
    <cfRule type="expression" dxfId="90" priority="54" stopIfTrue="1">
      <formula>AND(B52="Cat 4",R5=1)</formula>
    </cfRule>
  </conditionalFormatting>
  <conditionalFormatting sqref="O61">
    <cfRule type="expression" dxfId="89" priority="71" stopIfTrue="1">
      <formula>AND(B52="Cat 4",R5=2)</formula>
    </cfRule>
  </conditionalFormatting>
  <conditionalFormatting sqref="O62">
    <cfRule type="expression" dxfId="88" priority="82" stopIfTrue="1">
      <formula>AND(B52="Cat 4",R5=3)</formula>
    </cfRule>
  </conditionalFormatting>
  <conditionalFormatting sqref="O63">
    <cfRule type="expression" dxfId="87" priority="99" stopIfTrue="1">
      <formula>AND(B52="Cat 4",R5=4)</formula>
    </cfRule>
  </conditionalFormatting>
  <conditionalFormatting sqref="O64">
    <cfRule type="expression" dxfId="86" priority="110" stopIfTrue="1">
      <formula>AND(B52="Cat 4",R5=5)</formula>
    </cfRule>
  </conditionalFormatting>
  <conditionalFormatting sqref="O65">
    <cfRule type="expression" dxfId="85" priority="127" stopIfTrue="1">
      <formula>AND(B52="Cat 4",R5=6)</formula>
    </cfRule>
  </conditionalFormatting>
  <conditionalFormatting sqref="O66">
    <cfRule type="expression" dxfId="84" priority="138" stopIfTrue="1">
      <formula>AND(B52="Cat 4",R5=7)</formula>
    </cfRule>
  </conditionalFormatting>
  <conditionalFormatting sqref="O67">
    <cfRule type="expression" dxfId="83" priority="155" stopIfTrue="1">
      <formula>AND(B52="Cat 4",R5=8)</formula>
    </cfRule>
  </conditionalFormatting>
  <conditionalFormatting sqref="O69">
    <cfRule type="expression" dxfId="82" priority="174" stopIfTrue="1">
      <formula>AND(B52="Cat 4",R5&gt;8)</formula>
    </cfRule>
  </conditionalFormatting>
  <conditionalFormatting sqref="P60">
    <cfRule type="expression" dxfId="81" priority="55" stopIfTrue="1">
      <formula>AND(B52="Cat 5",R5=1)</formula>
    </cfRule>
  </conditionalFormatting>
  <conditionalFormatting sqref="P61">
    <cfRule type="expression" dxfId="80" priority="70" stopIfTrue="1">
      <formula>AND(B52="Cat 5",R5=2)</formula>
    </cfRule>
  </conditionalFormatting>
  <conditionalFormatting sqref="P62">
    <cfRule type="expression" dxfId="79" priority="83" stopIfTrue="1">
      <formula>AND(B52="Cat 5",R5=3)</formula>
    </cfRule>
  </conditionalFormatting>
  <conditionalFormatting sqref="P63">
    <cfRule type="expression" dxfId="78" priority="98" stopIfTrue="1">
      <formula>AND(B52="Cat 5",R5=4)</formula>
    </cfRule>
  </conditionalFormatting>
  <conditionalFormatting sqref="P64">
    <cfRule type="expression" dxfId="77" priority="111" stopIfTrue="1">
      <formula>AND(B52="Cat 5",R5=5)</formula>
    </cfRule>
  </conditionalFormatting>
  <conditionalFormatting sqref="P65">
    <cfRule type="expression" dxfId="76" priority="126" stopIfTrue="1">
      <formula>AND(B52="Cat 5",R5=6)</formula>
    </cfRule>
  </conditionalFormatting>
  <conditionalFormatting sqref="P66">
    <cfRule type="expression" dxfId="75" priority="139" stopIfTrue="1">
      <formula>AND(B52="Cat 5",R5=7)</formula>
    </cfRule>
  </conditionalFormatting>
  <conditionalFormatting sqref="P67">
    <cfRule type="expression" dxfId="74" priority="154" stopIfTrue="1">
      <formula>AND(B52="Cat 5",R5=8)</formula>
    </cfRule>
  </conditionalFormatting>
  <conditionalFormatting sqref="P69">
    <cfRule type="expression" dxfId="73" priority="175" stopIfTrue="1">
      <formula>AND(B52="Cat 5",R5&gt;8)</formula>
    </cfRule>
  </conditionalFormatting>
  <conditionalFormatting sqref="Q60">
    <cfRule type="expression" dxfId="72" priority="56" stopIfTrue="1">
      <formula>AND(B52="Cat 5",R5=1)</formula>
    </cfRule>
  </conditionalFormatting>
  <conditionalFormatting sqref="Q61">
    <cfRule type="expression" dxfId="71" priority="69" stopIfTrue="1">
      <formula>AND(B52="Cat 5",R5=2)</formula>
    </cfRule>
  </conditionalFormatting>
  <conditionalFormatting sqref="Q62">
    <cfRule type="expression" dxfId="70" priority="84" stopIfTrue="1">
      <formula>AND(B52="Cat 5",R5=3)</formula>
    </cfRule>
  </conditionalFormatting>
  <conditionalFormatting sqref="Q63">
    <cfRule type="expression" dxfId="69" priority="97" stopIfTrue="1">
      <formula>AND(B52="Cat 5",R5=4)</formula>
    </cfRule>
  </conditionalFormatting>
  <conditionalFormatting sqref="Q64">
    <cfRule type="expression" dxfId="68" priority="112" stopIfTrue="1">
      <formula>AND(B52="Cat 5",R5=5)</formula>
    </cfRule>
  </conditionalFormatting>
  <conditionalFormatting sqref="Q65">
    <cfRule type="expression" dxfId="67" priority="125" stopIfTrue="1">
      <formula>AND(B52="Cat 5",R5=6)</formula>
    </cfRule>
  </conditionalFormatting>
  <conditionalFormatting sqref="Q66">
    <cfRule type="expression" dxfId="66" priority="140" stopIfTrue="1">
      <formula>AND(B52="Cat 5",R5=7)</formula>
    </cfRule>
  </conditionalFormatting>
  <conditionalFormatting sqref="Q67">
    <cfRule type="expression" dxfId="65" priority="153" stopIfTrue="1">
      <formula>AND(B52="Cat 5",R5=8)</formula>
    </cfRule>
  </conditionalFormatting>
  <conditionalFormatting sqref="Q69">
    <cfRule type="expression" dxfId="64" priority="176" stopIfTrue="1">
      <formula>AND(B52="Cat 5",R5&gt;8)</formula>
    </cfRule>
  </conditionalFormatting>
  <conditionalFormatting sqref="R60">
    <cfRule type="expression" dxfId="63" priority="57" stopIfTrue="1">
      <formula>AND(B52="Cat 5",R5=1)</formula>
    </cfRule>
  </conditionalFormatting>
  <conditionalFormatting sqref="R61">
    <cfRule type="expression" dxfId="62" priority="68" stopIfTrue="1">
      <formula>AND(B52="Cat 5",R5=2)</formula>
    </cfRule>
  </conditionalFormatting>
  <conditionalFormatting sqref="R62">
    <cfRule type="expression" dxfId="61" priority="85" stopIfTrue="1">
      <formula>AND(B52="Cat 5",R5=3)</formula>
    </cfRule>
  </conditionalFormatting>
  <conditionalFormatting sqref="R63">
    <cfRule type="expression" dxfId="60" priority="96" stopIfTrue="1">
      <formula>AND(B52="Cat 5",R5=4)</formula>
    </cfRule>
  </conditionalFormatting>
  <conditionalFormatting sqref="R64">
    <cfRule type="expression" dxfId="59" priority="113" stopIfTrue="1">
      <formula>AND(B52="Cat 5",R5=5)</formula>
    </cfRule>
  </conditionalFormatting>
  <conditionalFormatting sqref="R65">
    <cfRule type="expression" dxfId="58" priority="124" stopIfTrue="1">
      <formula>AND(B52="Cat 5",R5=6)</formula>
    </cfRule>
  </conditionalFormatting>
  <conditionalFormatting sqref="R66">
    <cfRule type="expression" dxfId="57" priority="141" stopIfTrue="1">
      <formula>AND(B52="Cat 5",R5=7)</formula>
    </cfRule>
  </conditionalFormatting>
  <conditionalFormatting sqref="R67">
    <cfRule type="expression" dxfId="56" priority="152" stopIfTrue="1">
      <formula>AND(B52="Cat 5",R5=8)</formula>
    </cfRule>
  </conditionalFormatting>
  <conditionalFormatting sqref="R69">
    <cfRule type="expression" dxfId="55" priority="177" stopIfTrue="1">
      <formula>AND(B52="Cat 5",R5&gt;8)</formula>
    </cfRule>
  </conditionalFormatting>
  <conditionalFormatting sqref="S60">
    <cfRule type="expression" dxfId="54" priority="58" stopIfTrue="1">
      <formula>AND(B52="Cat 6",R5=1)</formula>
    </cfRule>
  </conditionalFormatting>
  <conditionalFormatting sqref="S61">
    <cfRule type="expression" dxfId="53" priority="67" stopIfTrue="1">
      <formula>AND(B52="Cat 6",R5=2)</formula>
    </cfRule>
  </conditionalFormatting>
  <conditionalFormatting sqref="S62">
    <cfRule type="expression" dxfId="52" priority="86" stopIfTrue="1">
      <formula>AND(B52="Cat 6",R5=3)</formula>
    </cfRule>
  </conditionalFormatting>
  <conditionalFormatting sqref="S63">
    <cfRule type="expression" dxfId="51" priority="95" stopIfTrue="1">
      <formula>AND(B52="Cat 6",R5=4)</formula>
    </cfRule>
  </conditionalFormatting>
  <conditionalFormatting sqref="S64">
    <cfRule type="expression" dxfId="50" priority="114" stopIfTrue="1">
      <formula>AND(B52="Cat 6",R5=5)</formula>
    </cfRule>
  </conditionalFormatting>
  <conditionalFormatting sqref="S65">
    <cfRule type="expression" dxfId="49" priority="123" stopIfTrue="1">
      <formula>AND(B52="Cat 6",R5=6)</formula>
    </cfRule>
  </conditionalFormatting>
  <conditionalFormatting sqref="S66">
    <cfRule type="expression" dxfId="48" priority="142" stopIfTrue="1">
      <formula>AND(B52="Cat 6",R5=7)</formula>
    </cfRule>
  </conditionalFormatting>
  <conditionalFormatting sqref="S67">
    <cfRule type="expression" dxfId="47" priority="151" stopIfTrue="1">
      <formula>AND(B52="Cat 6",R5=8)</formula>
    </cfRule>
  </conditionalFormatting>
  <conditionalFormatting sqref="S69">
    <cfRule type="expression" dxfId="46" priority="178" stopIfTrue="1">
      <formula>AND(B52="Cat 6",R5&gt;8)</formula>
    </cfRule>
  </conditionalFormatting>
  <conditionalFormatting sqref="T60">
    <cfRule type="expression" dxfId="45" priority="59" stopIfTrue="1">
      <formula>AND(B52="Cat 6",R5=1)</formula>
    </cfRule>
  </conditionalFormatting>
  <conditionalFormatting sqref="T61">
    <cfRule type="expression" dxfId="44" priority="66" stopIfTrue="1">
      <formula>AND(B52="Cat 6",R5=2)</formula>
    </cfRule>
  </conditionalFormatting>
  <conditionalFormatting sqref="T62">
    <cfRule type="expression" dxfId="43" priority="87" stopIfTrue="1">
      <formula>AND(B52="Cat 6",R5=3)</formula>
    </cfRule>
  </conditionalFormatting>
  <conditionalFormatting sqref="T63">
    <cfRule type="expression" dxfId="42" priority="94" stopIfTrue="1">
      <formula>AND(B52="Cat 6",R5=4)</formula>
    </cfRule>
  </conditionalFormatting>
  <conditionalFormatting sqref="T64">
    <cfRule type="expression" dxfId="41" priority="115" stopIfTrue="1">
      <formula>AND(B52="Cat 6",R5=5)</formula>
    </cfRule>
  </conditionalFormatting>
  <conditionalFormatting sqref="T65">
    <cfRule type="expression" dxfId="40" priority="122" stopIfTrue="1">
      <formula>AND(B52="Cat 6",R5=6)</formula>
    </cfRule>
  </conditionalFormatting>
  <conditionalFormatting sqref="T66">
    <cfRule type="expression" dxfId="39" priority="143" stopIfTrue="1">
      <formula>AND(B52="Cat 6",R5=7)</formula>
    </cfRule>
  </conditionalFormatting>
  <conditionalFormatting sqref="T67">
    <cfRule type="expression" dxfId="38" priority="150" stopIfTrue="1">
      <formula>AND(B52="Cat 6",R5=8)</formula>
    </cfRule>
  </conditionalFormatting>
  <conditionalFormatting sqref="T69">
    <cfRule type="expression" dxfId="37" priority="179" stopIfTrue="1">
      <formula>AND(B52="Cat 6",R5&gt;8)</formula>
    </cfRule>
  </conditionalFormatting>
  <conditionalFormatting sqref="U60">
    <cfRule type="expression" dxfId="36" priority="60" stopIfTrue="1">
      <formula>AND(B52="Cat 6",R5=1)</formula>
    </cfRule>
  </conditionalFormatting>
  <conditionalFormatting sqref="U61">
    <cfRule type="expression" dxfId="35" priority="65" stopIfTrue="1">
      <formula>AND(B52="Cat 6",R5=2)</formula>
    </cfRule>
  </conditionalFormatting>
  <conditionalFormatting sqref="U62">
    <cfRule type="expression" dxfId="34" priority="88" stopIfTrue="1">
      <formula>AND(B52="Cat 6",R5=3)</formula>
    </cfRule>
  </conditionalFormatting>
  <conditionalFormatting sqref="U63">
    <cfRule type="expression" dxfId="33" priority="93" stopIfTrue="1">
      <formula>AND(B52="Cat 6",R5=4)</formula>
    </cfRule>
  </conditionalFormatting>
  <conditionalFormatting sqref="U64">
    <cfRule type="expression" dxfId="32" priority="116" stopIfTrue="1">
      <formula>AND(B52="Cat 6",R5=5)</formula>
    </cfRule>
  </conditionalFormatting>
  <conditionalFormatting sqref="U65">
    <cfRule type="expression" dxfId="31" priority="121" stopIfTrue="1">
      <formula>AND(B52="Cat 6",R5=6)</formula>
    </cfRule>
  </conditionalFormatting>
  <conditionalFormatting sqref="U66">
    <cfRule type="expression" dxfId="30" priority="144" stopIfTrue="1">
      <formula>AND(B52="Cat 6",R5=7)</formula>
    </cfRule>
  </conditionalFormatting>
  <conditionalFormatting sqref="U67">
    <cfRule type="expression" dxfId="29" priority="149" stopIfTrue="1">
      <formula>AND(B52="Cat 6",R5=8)</formula>
    </cfRule>
  </conditionalFormatting>
  <conditionalFormatting sqref="U69">
    <cfRule type="expression" dxfId="28" priority="180" stopIfTrue="1">
      <formula>AND(B52="Cat 6",R5&gt;8)</formula>
    </cfRule>
  </conditionalFormatting>
  <conditionalFormatting sqref="V60">
    <cfRule type="expression" dxfId="27" priority="61" stopIfTrue="1">
      <formula>AND(B52="N/A",R5=1)</formula>
    </cfRule>
  </conditionalFormatting>
  <conditionalFormatting sqref="V61">
    <cfRule type="expression" dxfId="26" priority="64" stopIfTrue="1">
      <formula>AND(B52="N/A",R5=2)</formula>
    </cfRule>
  </conditionalFormatting>
  <conditionalFormatting sqref="V62">
    <cfRule type="expression" dxfId="25" priority="89" stopIfTrue="1">
      <formula>AND(B52="N/A",R5=3)</formula>
    </cfRule>
  </conditionalFormatting>
  <conditionalFormatting sqref="V63">
    <cfRule type="expression" dxfId="24" priority="92" stopIfTrue="1">
      <formula>AND(B52="N/A",R5=4)</formula>
    </cfRule>
  </conditionalFormatting>
  <conditionalFormatting sqref="V64">
    <cfRule type="expression" dxfId="23" priority="117" stopIfTrue="1">
      <formula>AND(B52="N/A",R5=5)</formula>
    </cfRule>
  </conditionalFormatting>
  <conditionalFormatting sqref="V65">
    <cfRule type="expression" dxfId="22" priority="120" stopIfTrue="1">
      <formula>AND(B52="N/A",R5=6)</formula>
    </cfRule>
  </conditionalFormatting>
  <conditionalFormatting sqref="V66">
    <cfRule type="expression" dxfId="21" priority="145" stopIfTrue="1">
      <formula>AND(B52="N/A",R5=7)</formula>
    </cfRule>
  </conditionalFormatting>
  <conditionalFormatting sqref="V67">
    <cfRule type="expression" dxfId="20" priority="148" stopIfTrue="1">
      <formula>AND(B52="N/A",R5=8)</formula>
    </cfRule>
  </conditionalFormatting>
  <conditionalFormatting sqref="V69">
    <cfRule type="expression" dxfId="19" priority="161" stopIfTrue="1">
      <formula>AND(B52="N/A",R5&gt;8)</formula>
    </cfRule>
  </conditionalFormatting>
  <conditionalFormatting sqref="W60">
    <cfRule type="expression" dxfId="18" priority="62" stopIfTrue="1">
      <formula>AND(B52="N/A",R5=1)</formula>
    </cfRule>
  </conditionalFormatting>
  <conditionalFormatting sqref="W61">
    <cfRule type="expression" dxfId="17" priority="63" stopIfTrue="1">
      <formula>AND(B52="N/A",R5=2)</formula>
    </cfRule>
  </conditionalFormatting>
  <conditionalFormatting sqref="W62">
    <cfRule type="expression" dxfId="16" priority="90" stopIfTrue="1">
      <formula>AND(B52="N/A",R5=3)</formula>
    </cfRule>
  </conditionalFormatting>
  <conditionalFormatting sqref="W63">
    <cfRule type="expression" dxfId="15" priority="91" stopIfTrue="1">
      <formula>AND(B52="N/A",R5=4)</formula>
    </cfRule>
  </conditionalFormatting>
  <conditionalFormatting sqref="W64">
    <cfRule type="expression" dxfId="14" priority="118" stopIfTrue="1">
      <formula>AND(B52="N/A",R5=5)</formula>
    </cfRule>
  </conditionalFormatting>
  <conditionalFormatting sqref="W65">
    <cfRule type="expression" dxfId="13" priority="119" stopIfTrue="1">
      <formula>AND(B52="N/A",R5=6)</formula>
    </cfRule>
  </conditionalFormatting>
  <conditionalFormatting sqref="W66">
    <cfRule type="expression" dxfId="12" priority="146" stopIfTrue="1">
      <formula>AND(B52="N/A",R5=7)</formula>
    </cfRule>
  </conditionalFormatting>
  <conditionalFormatting sqref="W67">
    <cfRule type="expression" dxfId="11" priority="147" stopIfTrue="1">
      <formula>AND(B52="N/A",R5=8)</formula>
    </cfRule>
  </conditionalFormatting>
  <conditionalFormatting sqref="W69">
    <cfRule type="expression" dxfId="10" priority="162" stopIfTrue="1">
      <formula>AND(B52="N/A",R5&gt;8)</formula>
    </cfRule>
  </conditionalFormatting>
  <pageMargins left="0.5" right="0.5" top="0.5" bottom="0.5" header="0.3" footer="0.3"/>
  <pageSetup scale="77" orientation="landscape" r:id="rId1"/>
  <headerFooter alignWithMargins="0">
    <oddHeader>&amp;L&amp;F&amp;R&amp;A</oddHeader>
  </headerFooter>
  <rowBreaks count="1" manualBreakCount="1">
    <brk id="38" max="16383" man="1"/>
  </rowBreaks>
  <colBreaks count="1" manualBreakCount="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T49"/>
  <sheetViews>
    <sheetView zoomScaleNormal="100" workbookViewId="0">
      <selection activeCell="G7" sqref="G7:H7"/>
    </sheetView>
  </sheetViews>
  <sheetFormatPr defaultRowHeight="12.5" x14ac:dyDescent="0.25"/>
  <cols>
    <col min="1" max="1" width="9.26953125" customWidth="1"/>
    <col min="3" max="3" width="4.54296875" customWidth="1"/>
    <col min="4" max="4" width="7.1796875" customWidth="1"/>
    <col min="5" max="5" width="11.81640625" customWidth="1"/>
    <col min="6" max="6" width="2.54296875" customWidth="1"/>
    <col min="7" max="7" width="12.54296875" customWidth="1"/>
    <col min="8" max="8" width="11.54296875" customWidth="1"/>
    <col min="9" max="9" width="19" customWidth="1"/>
    <col min="11" max="11" width="9.1796875" customWidth="1"/>
    <col min="12" max="13" width="9.1796875" hidden="1" customWidth="1"/>
    <col min="14" max="14" width="9.1796875" customWidth="1"/>
  </cols>
  <sheetData>
    <row r="1" spans="1:20" ht="29.25" customHeight="1" thickBot="1" x14ac:dyDescent="0.3">
      <c r="A1" s="387" t="str">
        <f>IF(AND(Eligibility!A1=0,EligReCert!A1=0,Eligibility!H1=0,EligReCert!H1=0),"No Name Please Fill Out Annual or Monthly Tab",IF(AND(Eligibility!A1&gt;0,EligReCert!A1=0),Eligibility!A1,IF(AND(Eligibility!A1=0,EligReCert!A1&gt;0),EligReCert!A1,IF(Eligibility!A1=EligReCert!A1,Eligibility!A1,"Different Names on Annual and Monthly Tabs!"))))</f>
        <v>No Name Please Fill Out Eligibility Tab</v>
      </c>
      <c r="B1" s="388"/>
      <c r="C1" s="388"/>
      <c r="E1" s="388" t="str">
        <f>IF(AND(Eligibility!H1=0,EligReCert!H1=0,Eligibility!A1=0,EligReCert!A1=0),"NO Case Number Please Fill Out Annual or Monthly Tab",IF(AND(Eligibility!H1&gt;0,EligReCert!H1=0),Eligibility!H1,IF(AND(Eligibility!H1=0,EligReCert!H1&gt;0),EligReCert!H1,IF(Eligibility!H1=EligReCert!H1,Eligibility!H1,"Different Case # on Annual and Monthly Tabs!"))))</f>
        <v>No Case # Please Fill Out Eligibility Tab</v>
      </c>
      <c r="F1" s="388"/>
      <c r="G1" s="388"/>
      <c r="H1" s="1"/>
      <c r="I1" s="107">
        <f ca="1">Eligibility!S1</f>
        <v>45692</v>
      </c>
    </row>
    <row r="2" spans="1:20" ht="13" thickTop="1" x14ac:dyDescent="0.25">
      <c r="A2" s="90" t="s">
        <v>16</v>
      </c>
      <c r="B2" s="74"/>
      <c r="C2" s="89"/>
      <c r="E2" s="320" t="s">
        <v>17</v>
      </c>
      <c r="F2" s="385"/>
      <c r="G2" s="385"/>
      <c r="H2" s="1"/>
      <c r="I2" s="76" t="s">
        <v>90</v>
      </c>
    </row>
    <row r="3" spans="1:20" ht="17.5" x14ac:dyDescent="0.35">
      <c r="A3" s="108" t="str">
        <f>IF(AND(Eligibility!A1=0,EligReCert!A1=0,Eligibility!H1=0,EligReCert!H1=0),"No Name or Case # Please Fill Out Annual or Monthly Tab",IF(OR(Eligibility!A1=EligReCert!A1,Eligibility!H1=EligReCert!H1),"",IF(OR(AND(NOT(Eligibility!A1=0),NOT(Eligibility!H1=0)),AND(NOT(EligReCert!A1=0),NOT(EligReCert!H1=0))),"","Different Names or Case #'s on Annual and Monthly Tabs!")))</f>
        <v/>
      </c>
      <c r="B3" s="1"/>
      <c r="C3" s="1"/>
      <c r="D3" s="1"/>
      <c r="E3" s="1"/>
      <c r="F3" s="1"/>
      <c r="G3" s="1"/>
      <c r="H3" s="1"/>
      <c r="I3" s="1"/>
    </row>
    <row r="4" spans="1:20" ht="23" x14ac:dyDescent="0.5">
      <c r="A4" s="123" t="s">
        <v>129</v>
      </c>
      <c r="B4" s="42"/>
      <c r="C4" s="42"/>
      <c r="D4" s="42"/>
      <c r="E4" s="42"/>
      <c r="F4" s="42"/>
      <c r="G4" s="42"/>
      <c r="H4" s="42"/>
      <c r="I4" s="42"/>
    </row>
    <row r="5" spans="1:20" ht="23" x14ac:dyDescent="0.5">
      <c r="A5" s="123" t="s">
        <v>128</v>
      </c>
      <c r="B5" s="74"/>
      <c r="C5" s="74"/>
      <c r="D5" s="74"/>
      <c r="E5" s="74"/>
      <c r="F5" s="74"/>
      <c r="G5" s="74"/>
      <c r="H5" s="74"/>
      <c r="I5" s="74"/>
      <c r="O5" s="43"/>
      <c r="P5" s="43"/>
      <c r="Q5" s="43"/>
      <c r="R5" s="43"/>
      <c r="S5" s="43"/>
      <c r="T5" s="43"/>
    </row>
    <row r="6" spans="1:20" ht="15.5" x14ac:dyDescent="0.35">
      <c r="A6" s="74"/>
      <c r="B6" s="122" t="s">
        <v>127</v>
      </c>
      <c r="C6" s="43"/>
      <c r="D6" s="43"/>
      <c r="E6" s="74"/>
      <c r="F6" s="74"/>
      <c r="G6" s="74"/>
      <c r="H6" s="74"/>
      <c r="I6" s="43"/>
    </row>
    <row r="7" spans="1:20" ht="32.25" customHeight="1" x14ac:dyDescent="0.35">
      <c r="A7" s="409" t="s">
        <v>95</v>
      </c>
      <c r="B7" s="410"/>
      <c r="C7" s="410"/>
      <c r="D7" s="411" t="str">
        <f>IF(G7=0,"",G7-365)</f>
        <v/>
      </c>
      <c r="E7" s="411"/>
      <c r="F7" s="86" t="s">
        <v>92</v>
      </c>
      <c r="G7" s="412"/>
      <c r="H7" s="412"/>
      <c r="I7" s="85"/>
      <c r="L7" s="41"/>
    </row>
    <row r="8" spans="1:20" ht="17.5" x14ac:dyDescent="0.35">
      <c r="A8" s="42"/>
      <c r="B8" s="94"/>
      <c r="C8" s="43"/>
      <c r="D8" s="87" t="s">
        <v>93</v>
      </c>
      <c r="E8" s="43"/>
      <c r="F8" s="85"/>
      <c r="G8" s="116" t="s">
        <v>121</v>
      </c>
      <c r="H8" s="43"/>
      <c r="I8" s="88"/>
    </row>
    <row r="9" spans="1:20" ht="17.5" x14ac:dyDescent="0.35">
      <c r="A9" s="108" t="str">
        <f>IF(OR(D7=0,G7=0),"Please Enter Re/Assessment Date",IF(SUM(L12:L45)&gt;0,"One or More Dates are Not Within Determination Year",""))</f>
        <v>Please Enter Re/Assessment Date</v>
      </c>
      <c r="C9" s="43"/>
      <c r="D9" s="87"/>
      <c r="E9" s="43"/>
      <c r="F9" s="85"/>
      <c r="G9" s="87"/>
      <c r="H9" s="43"/>
      <c r="I9" s="85"/>
    </row>
    <row r="10" spans="1:20" ht="17.5" x14ac:dyDescent="0.35">
      <c r="A10" s="109" t="str">
        <f>IF(LEFT(A9,3)="One","Please Fix or Delete Out of Date Items",IF(SUM(M12:M45)&gt;0,"Date Paid or Amount is Missing or $0",""))</f>
        <v/>
      </c>
      <c r="C10" s="1"/>
      <c r="D10" s="1"/>
      <c r="E10" s="1"/>
      <c r="F10" s="1"/>
      <c r="G10" s="1"/>
      <c r="H10" s="1"/>
      <c r="I10" s="1"/>
    </row>
    <row r="11" spans="1:20" ht="25" x14ac:dyDescent="0.25">
      <c r="A11" s="79" t="s">
        <v>89</v>
      </c>
      <c r="B11" s="44"/>
      <c r="C11" s="44"/>
      <c r="D11" s="44"/>
      <c r="E11" s="44"/>
      <c r="F11" s="44"/>
      <c r="G11" s="45"/>
      <c r="H11" s="46" t="s">
        <v>36</v>
      </c>
      <c r="I11" s="47" t="s">
        <v>37</v>
      </c>
    </row>
    <row r="12" spans="1:20" x14ac:dyDescent="0.25">
      <c r="A12" s="406"/>
      <c r="B12" s="407"/>
      <c r="C12" s="407"/>
      <c r="D12" s="407"/>
      <c r="E12" s="407"/>
      <c r="F12" s="407"/>
      <c r="G12" s="408"/>
      <c r="H12" s="92"/>
      <c r="I12" s="91"/>
      <c r="L12" t="str">
        <f>IF(H12="","",IF(OR(H12&gt;G$7,H12&lt;D$7),1,""))</f>
        <v/>
      </c>
      <c r="M12" t="str">
        <f t="shared" ref="M12:M17" si="0">IF(AND(I12=0,H12=0),"",IF(AND(NOT(I12=0),NOT(H12=0)),"",1))</f>
        <v/>
      </c>
    </row>
    <row r="13" spans="1:20" x14ac:dyDescent="0.25">
      <c r="A13" s="401"/>
      <c r="B13" s="402"/>
      <c r="C13" s="402"/>
      <c r="D13" s="402"/>
      <c r="E13" s="402"/>
      <c r="F13" s="402"/>
      <c r="G13" s="402"/>
      <c r="H13" s="92"/>
      <c r="I13" s="91"/>
      <c r="L13" t="str">
        <f>IF(H13="","",IF(OR(H13&gt;G$7,H13&lt;D$7),1,""))</f>
        <v/>
      </c>
      <c r="M13" t="str">
        <f t="shared" si="0"/>
        <v/>
      </c>
    </row>
    <row r="14" spans="1:20" x14ac:dyDescent="0.25">
      <c r="A14" s="401"/>
      <c r="B14" s="402"/>
      <c r="C14" s="402"/>
      <c r="D14" s="402"/>
      <c r="E14" s="402"/>
      <c r="F14" s="402"/>
      <c r="G14" s="402"/>
      <c r="H14" s="92"/>
      <c r="I14" s="91"/>
      <c r="L14" t="str">
        <f t="shared" ref="L14:L45" si="1">IF(H14="","",IF(OR(H14&gt;G$7,H14&lt;D$7),1,""))</f>
        <v/>
      </c>
      <c r="M14" t="str">
        <f t="shared" si="0"/>
        <v/>
      </c>
    </row>
    <row r="15" spans="1:20" x14ac:dyDescent="0.25">
      <c r="A15" s="401"/>
      <c r="B15" s="402"/>
      <c r="C15" s="402"/>
      <c r="D15" s="402"/>
      <c r="E15" s="402"/>
      <c r="F15" s="402"/>
      <c r="G15" s="402"/>
      <c r="H15" s="92"/>
      <c r="I15" s="91"/>
      <c r="L15" t="str">
        <f t="shared" si="1"/>
        <v/>
      </c>
      <c r="M15" t="str">
        <f t="shared" si="0"/>
        <v/>
      </c>
    </row>
    <row r="16" spans="1:20" x14ac:dyDescent="0.25">
      <c r="A16" s="401"/>
      <c r="B16" s="402"/>
      <c r="C16" s="402"/>
      <c r="D16" s="402"/>
      <c r="E16" s="402"/>
      <c r="F16" s="402"/>
      <c r="G16" s="402"/>
      <c r="H16" s="92"/>
      <c r="I16" s="91"/>
      <c r="L16" t="str">
        <f t="shared" si="1"/>
        <v/>
      </c>
      <c r="M16" t="str">
        <f t="shared" si="0"/>
        <v/>
      </c>
    </row>
    <row r="17" spans="1:13" x14ac:dyDescent="0.25">
      <c r="A17" s="401"/>
      <c r="B17" s="402"/>
      <c r="C17" s="402"/>
      <c r="D17" s="402"/>
      <c r="E17" s="402"/>
      <c r="F17" s="402"/>
      <c r="G17" s="402"/>
      <c r="H17" s="92"/>
      <c r="I17" s="91"/>
      <c r="L17" t="str">
        <f t="shared" si="1"/>
        <v/>
      </c>
      <c r="M17" t="str">
        <f t="shared" si="0"/>
        <v/>
      </c>
    </row>
    <row r="18" spans="1:13" x14ac:dyDescent="0.25">
      <c r="A18" s="401"/>
      <c r="B18" s="402"/>
      <c r="C18" s="402"/>
      <c r="D18" s="402"/>
      <c r="E18" s="402"/>
      <c r="F18" s="402"/>
      <c r="G18" s="402"/>
      <c r="H18" s="92"/>
      <c r="I18" s="91"/>
      <c r="L18" t="str">
        <f t="shared" si="1"/>
        <v/>
      </c>
      <c r="M18" t="str">
        <f t="shared" ref="M18:M45" si="2">IF(AND(I18=0,H18=0),"",IF(AND(NOT(I18=0),NOT(H18=0)),"",1))</f>
        <v/>
      </c>
    </row>
    <row r="19" spans="1:13" x14ac:dyDescent="0.25">
      <c r="A19" s="401"/>
      <c r="B19" s="402"/>
      <c r="C19" s="402"/>
      <c r="D19" s="402"/>
      <c r="E19" s="402"/>
      <c r="F19" s="402"/>
      <c r="G19" s="402"/>
      <c r="H19" s="92"/>
      <c r="I19" s="91"/>
      <c r="L19" t="str">
        <f t="shared" si="1"/>
        <v/>
      </c>
      <c r="M19" t="str">
        <f t="shared" si="2"/>
        <v/>
      </c>
    </row>
    <row r="20" spans="1:13" x14ac:dyDescent="0.25">
      <c r="A20" s="401"/>
      <c r="B20" s="402"/>
      <c r="C20" s="402"/>
      <c r="D20" s="402"/>
      <c r="E20" s="402"/>
      <c r="F20" s="402"/>
      <c r="G20" s="402"/>
      <c r="H20" s="92"/>
      <c r="I20" s="91"/>
      <c r="L20" t="str">
        <f t="shared" si="1"/>
        <v/>
      </c>
      <c r="M20" t="str">
        <f t="shared" si="2"/>
        <v/>
      </c>
    </row>
    <row r="21" spans="1:13" x14ac:dyDescent="0.25">
      <c r="A21" s="401"/>
      <c r="B21" s="402"/>
      <c r="C21" s="402"/>
      <c r="D21" s="402"/>
      <c r="E21" s="402"/>
      <c r="F21" s="402"/>
      <c r="G21" s="402"/>
      <c r="H21" s="92"/>
      <c r="I21" s="91"/>
      <c r="L21" t="str">
        <f t="shared" si="1"/>
        <v/>
      </c>
      <c r="M21" t="str">
        <f t="shared" si="2"/>
        <v/>
      </c>
    </row>
    <row r="22" spans="1:13" x14ac:dyDescent="0.25">
      <c r="A22" s="401"/>
      <c r="B22" s="402"/>
      <c r="C22" s="402"/>
      <c r="D22" s="402"/>
      <c r="E22" s="402"/>
      <c r="F22" s="402"/>
      <c r="G22" s="402"/>
      <c r="H22" s="92"/>
      <c r="I22" s="91"/>
      <c r="L22" t="str">
        <f t="shared" si="1"/>
        <v/>
      </c>
      <c r="M22" t="str">
        <f t="shared" si="2"/>
        <v/>
      </c>
    </row>
    <row r="23" spans="1:13" x14ac:dyDescent="0.25">
      <c r="A23" s="401"/>
      <c r="B23" s="402"/>
      <c r="C23" s="402"/>
      <c r="D23" s="402"/>
      <c r="E23" s="402"/>
      <c r="F23" s="402"/>
      <c r="G23" s="402"/>
      <c r="H23" s="92"/>
      <c r="I23" s="91"/>
      <c r="L23" t="str">
        <f t="shared" si="1"/>
        <v/>
      </c>
      <c r="M23" t="str">
        <f t="shared" si="2"/>
        <v/>
      </c>
    </row>
    <row r="24" spans="1:13" x14ac:dyDescent="0.25">
      <c r="A24" s="403"/>
      <c r="B24" s="404"/>
      <c r="C24" s="404"/>
      <c r="D24" s="404"/>
      <c r="E24" s="404"/>
      <c r="F24" s="404"/>
      <c r="G24" s="405"/>
      <c r="H24" s="92"/>
      <c r="I24" s="91"/>
      <c r="L24" t="str">
        <f t="shared" si="1"/>
        <v/>
      </c>
      <c r="M24" t="str">
        <f t="shared" si="2"/>
        <v/>
      </c>
    </row>
    <row r="25" spans="1:13" x14ac:dyDescent="0.25">
      <c r="A25" s="403"/>
      <c r="B25" s="404"/>
      <c r="C25" s="404"/>
      <c r="D25" s="404"/>
      <c r="E25" s="404"/>
      <c r="F25" s="404"/>
      <c r="G25" s="405"/>
      <c r="H25" s="92"/>
      <c r="I25" s="91"/>
      <c r="L25" t="str">
        <f t="shared" si="1"/>
        <v/>
      </c>
      <c r="M25" t="str">
        <f t="shared" si="2"/>
        <v/>
      </c>
    </row>
    <row r="26" spans="1:13" x14ac:dyDescent="0.25">
      <c r="A26" s="403"/>
      <c r="B26" s="404"/>
      <c r="C26" s="404"/>
      <c r="D26" s="404"/>
      <c r="E26" s="404"/>
      <c r="F26" s="404"/>
      <c r="G26" s="405"/>
      <c r="H26" s="92"/>
      <c r="I26" s="91"/>
      <c r="L26" t="str">
        <f t="shared" si="1"/>
        <v/>
      </c>
      <c r="M26" t="str">
        <f t="shared" si="2"/>
        <v/>
      </c>
    </row>
    <row r="27" spans="1:13" x14ac:dyDescent="0.25">
      <c r="A27" s="403"/>
      <c r="B27" s="404"/>
      <c r="C27" s="404"/>
      <c r="D27" s="404"/>
      <c r="E27" s="404"/>
      <c r="F27" s="404"/>
      <c r="G27" s="405"/>
      <c r="H27" s="92"/>
      <c r="I27" s="91"/>
      <c r="L27" t="str">
        <f t="shared" si="1"/>
        <v/>
      </c>
      <c r="M27" t="str">
        <f t="shared" si="2"/>
        <v/>
      </c>
    </row>
    <row r="28" spans="1:13" x14ac:dyDescent="0.25">
      <c r="A28" s="403"/>
      <c r="B28" s="404"/>
      <c r="C28" s="404"/>
      <c r="D28" s="404"/>
      <c r="E28" s="404"/>
      <c r="F28" s="404"/>
      <c r="G28" s="405"/>
      <c r="H28" s="92"/>
      <c r="I28" s="91"/>
      <c r="L28" t="str">
        <f t="shared" si="1"/>
        <v/>
      </c>
      <c r="M28" t="str">
        <f t="shared" si="2"/>
        <v/>
      </c>
    </row>
    <row r="29" spans="1:13" x14ac:dyDescent="0.25">
      <c r="A29" s="403"/>
      <c r="B29" s="404"/>
      <c r="C29" s="404"/>
      <c r="D29" s="404"/>
      <c r="E29" s="404"/>
      <c r="F29" s="404"/>
      <c r="G29" s="405"/>
      <c r="H29" s="92"/>
      <c r="I29" s="91"/>
      <c r="L29" t="str">
        <f t="shared" si="1"/>
        <v/>
      </c>
      <c r="M29" t="str">
        <f t="shared" si="2"/>
        <v/>
      </c>
    </row>
    <row r="30" spans="1:13" x14ac:dyDescent="0.25">
      <c r="A30" s="403"/>
      <c r="B30" s="404"/>
      <c r="C30" s="404"/>
      <c r="D30" s="404"/>
      <c r="E30" s="404"/>
      <c r="F30" s="404"/>
      <c r="G30" s="405"/>
      <c r="H30" s="92"/>
      <c r="I30" s="91"/>
      <c r="L30" t="str">
        <f t="shared" si="1"/>
        <v/>
      </c>
      <c r="M30" t="str">
        <f t="shared" si="2"/>
        <v/>
      </c>
    </row>
    <row r="31" spans="1:13" x14ac:dyDescent="0.25">
      <c r="A31" s="403"/>
      <c r="B31" s="404"/>
      <c r="C31" s="404"/>
      <c r="D31" s="404"/>
      <c r="E31" s="404"/>
      <c r="F31" s="404"/>
      <c r="G31" s="405"/>
      <c r="H31" s="92"/>
      <c r="I31" s="91"/>
      <c r="L31" t="str">
        <f t="shared" si="1"/>
        <v/>
      </c>
      <c r="M31" t="str">
        <f t="shared" si="2"/>
        <v/>
      </c>
    </row>
    <row r="32" spans="1:13" x14ac:dyDescent="0.25">
      <c r="A32" s="403"/>
      <c r="B32" s="404"/>
      <c r="C32" s="404"/>
      <c r="D32" s="404"/>
      <c r="E32" s="404"/>
      <c r="F32" s="404"/>
      <c r="G32" s="405"/>
      <c r="H32" s="92"/>
      <c r="I32" s="91"/>
      <c r="L32" t="str">
        <f t="shared" si="1"/>
        <v/>
      </c>
      <c r="M32" t="str">
        <f t="shared" si="2"/>
        <v/>
      </c>
    </row>
    <row r="33" spans="1:13" x14ac:dyDescent="0.25">
      <c r="A33" s="403"/>
      <c r="B33" s="404"/>
      <c r="C33" s="404"/>
      <c r="D33" s="404"/>
      <c r="E33" s="404"/>
      <c r="F33" s="404"/>
      <c r="G33" s="405"/>
      <c r="H33" s="92"/>
      <c r="I33" s="91"/>
      <c r="L33" t="str">
        <f t="shared" si="1"/>
        <v/>
      </c>
      <c r="M33" t="str">
        <f t="shared" si="2"/>
        <v/>
      </c>
    </row>
    <row r="34" spans="1:13" x14ac:dyDescent="0.25">
      <c r="A34" s="401"/>
      <c r="B34" s="402"/>
      <c r="C34" s="402"/>
      <c r="D34" s="402"/>
      <c r="E34" s="402"/>
      <c r="F34" s="402"/>
      <c r="G34" s="402"/>
      <c r="H34" s="92"/>
      <c r="I34" s="91"/>
      <c r="L34" t="str">
        <f t="shared" si="1"/>
        <v/>
      </c>
      <c r="M34" t="str">
        <f t="shared" si="2"/>
        <v/>
      </c>
    </row>
    <row r="35" spans="1:13" x14ac:dyDescent="0.25">
      <c r="A35" s="401"/>
      <c r="B35" s="402"/>
      <c r="C35" s="402"/>
      <c r="D35" s="402"/>
      <c r="E35" s="402"/>
      <c r="F35" s="402"/>
      <c r="G35" s="402"/>
      <c r="H35" s="92"/>
      <c r="I35" s="91"/>
      <c r="L35" t="str">
        <f t="shared" si="1"/>
        <v/>
      </c>
      <c r="M35" t="str">
        <f t="shared" si="2"/>
        <v/>
      </c>
    </row>
    <row r="36" spans="1:13" x14ac:dyDescent="0.25">
      <c r="A36" s="401"/>
      <c r="B36" s="402"/>
      <c r="C36" s="402"/>
      <c r="D36" s="402"/>
      <c r="E36" s="402"/>
      <c r="F36" s="402"/>
      <c r="G36" s="402"/>
      <c r="H36" s="92"/>
      <c r="I36" s="91"/>
      <c r="L36" t="str">
        <f t="shared" si="1"/>
        <v/>
      </c>
      <c r="M36" t="str">
        <f t="shared" si="2"/>
        <v/>
      </c>
    </row>
    <row r="37" spans="1:13" x14ac:dyDescent="0.25">
      <c r="A37" s="401"/>
      <c r="B37" s="402"/>
      <c r="C37" s="402"/>
      <c r="D37" s="402"/>
      <c r="E37" s="402"/>
      <c r="F37" s="402"/>
      <c r="G37" s="402"/>
      <c r="H37" s="92"/>
      <c r="I37" s="91"/>
      <c r="L37" t="str">
        <f t="shared" si="1"/>
        <v/>
      </c>
      <c r="M37" t="str">
        <f t="shared" si="2"/>
        <v/>
      </c>
    </row>
    <row r="38" spans="1:13" x14ac:dyDescent="0.25">
      <c r="A38" s="401"/>
      <c r="B38" s="402"/>
      <c r="C38" s="402"/>
      <c r="D38" s="402"/>
      <c r="E38" s="402"/>
      <c r="F38" s="402"/>
      <c r="G38" s="402"/>
      <c r="H38" s="92"/>
      <c r="I38" s="91"/>
      <c r="L38" t="str">
        <f t="shared" si="1"/>
        <v/>
      </c>
      <c r="M38" t="str">
        <f t="shared" si="2"/>
        <v/>
      </c>
    </row>
    <row r="39" spans="1:13" x14ac:dyDescent="0.25">
      <c r="A39" s="401"/>
      <c r="B39" s="402"/>
      <c r="C39" s="402"/>
      <c r="D39" s="402"/>
      <c r="E39" s="402"/>
      <c r="F39" s="402"/>
      <c r="G39" s="402"/>
      <c r="H39" s="92"/>
      <c r="I39" s="91"/>
      <c r="L39" t="str">
        <f t="shared" si="1"/>
        <v/>
      </c>
      <c r="M39" t="str">
        <f t="shared" si="2"/>
        <v/>
      </c>
    </row>
    <row r="40" spans="1:13" x14ac:dyDescent="0.25">
      <c r="A40" s="401"/>
      <c r="B40" s="402"/>
      <c r="C40" s="402"/>
      <c r="D40" s="402"/>
      <c r="E40" s="402"/>
      <c r="F40" s="402"/>
      <c r="G40" s="402"/>
      <c r="H40" s="92"/>
      <c r="I40" s="91"/>
      <c r="L40" t="str">
        <f t="shared" si="1"/>
        <v/>
      </c>
      <c r="M40" t="str">
        <f t="shared" si="2"/>
        <v/>
      </c>
    </row>
    <row r="41" spans="1:13" x14ac:dyDescent="0.25">
      <c r="A41" s="401"/>
      <c r="B41" s="402"/>
      <c r="C41" s="402"/>
      <c r="D41" s="402"/>
      <c r="E41" s="402"/>
      <c r="F41" s="402"/>
      <c r="G41" s="402"/>
      <c r="H41" s="92"/>
      <c r="I41" s="91"/>
      <c r="L41" t="str">
        <f t="shared" si="1"/>
        <v/>
      </c>
      <c r="M41" t="str">
        <f t="shared" si="2"/>
        <v/>
      </c>
    </row>
    <row r="42" spans="1:13" x14ac:dyDescent="0.25">
      <c r="A42" s="401"/>
      <c r="B42" s="402"/>
      <c r="C42" s="402"/>
      <c r="D42" s="402"/>
      <c r="E42" s="402"/>
      <c r="F42" s="402"/>
      <c r="G42" s="402"/>
      <c r="H42" s="92"/>
      <c r="I42" s="91"/>
      <c r="L42" t="str">
        <f t="shared" si="1"/>
        <v/>
      </c>
      <c r="M42" t="str">
        <f t="shared" si="2"/>
        <v/>
      </c>
    </row>
    <row r="43" spans="1:13" x14ac:dyDescent="0.25">
      <c r="A43" s="401"/>
      <c r="B43" s="402"/>
      <c r="C43" s="402"/>
      <c r="D43" s="402"/>
      <c r="E43" s="402"/>
      <c r="F43" s="402"/>
      <c r="G43" s="402"/>
      <c r="H43" s="92"/>
      <c r="I43" s="91"/>
      <c r="L43" t="str">
        <f t="shared" si="1"/>
        <v/>
      </c>
      <c r="M43" t="str">
        <f t="shared" si="2"/>
        <v/>
      </c>
    </row>
    <row r="44" spans="1:13" x14ac:dyDescent="0.25">
      <c r="A44" s="401"/>
      <c r="B44" s="402"/>
      <c r="C44" s="402"/>
      <c r="D44" s="402"/>
      <c r="E44" s="402"/>
      <c r="F44" s="402"/>
      <c r="G44" s="402"/>
      <c r="H44" s="92"/>
      <c r="I44" s="91"/>
      <c r="L44" t="str">
        <f t="shared" si="1"/>
        <v/>
      </c>
      <c r="M44" t="str">
        <f t="shared" si="2"/>
        <v/>
      </c>
    </row>
    <row r="45" spans="1:13" x14ac:dyDescent="0.25">
      <c r="A45" s="401"/>
      <c r="B45" s="402"/>
      <c r="C45" s="402"/>
      <c r="D45" s="402"/>
      <c r="E45" s="402"/>
      <c r="F45" s="402"/>
      <c r="G45" s="402"/>
      <c r="H45" s="92"/>
      <c r="I45" s="91"/>
      <c r="L45" t="str">
        <f t="shared" si="1"/>
        <v/>
      </c>
      <c r="M45" t="str">
        <f t="shared" si="2"/>
        <v/>
      </c>
    </row>
    <row r="46" spans="1:13" ht="17.5" x14ac:dyDescent="0.35">
      <c r="A46" s="398" t="s">
        <v>40</v>
      </c>
      <c r="B46" s="399"/>
      <c r="C46" s="399"/>
      <c r="D46" s="400"/>
      <c r="E46" s="400"/>
      <c r="F46" s="400"/>
      <c r="G46" s="400"/>
      <c r="H46" s="400"/>
      <c r="I46" s="110">
        <f>IF(OR(D7=0,G7=0),0,IF(SUM(L12:L45)&gt;0,"ERROR",ROUND(SUM(I12:I45),2)))</f>
        <v>0</v>
      </c>
    </row>
    <row r="47" spans="1:13" x14ac:dyDescent="0.25">
      <c r="A47" s="1"/>
      <c r="B47" s="1"/>
      <c r="C47" s="1"/>
      <c r="D47" s="1"/>
      <c r="E47" s="1"/>
      <c r="F47" s="1"/>
      <c r="G47" s="1"/>
      <c r="H47" s="1"/>
      <c r="I47" s="1"/>
    </row>
    <row r="48" spans="1:13" ht="13" x14ac:dyDescent="0.3">
      <c r="A48" s="40" t="s">
        <v>46</v>
      </c>
      <c r="B48" s="1"/>
      <c r="C48" s="1"/>
      <c r="D48" s="1"/>
      <c r="E48" s="1"/>
      <c r="F48" s="1"/>
      <c r="G48" s="1"/>
      <c r="H48" s="1"/>
      <c r="I48" s="63" t="str">
        <f>Eligibility!U42</f>
        <v>created 11/12</v>
      </c>
    </row>
    <row r="49" spans="1:9" x14ac:dyDescent="0.25">
      <c r="A49" s="1"/>
      <c r="B49" s="1"/>
      <c r="C49" s="1"/>
      <c r="D49" s="1"/>
      <c r="E49" s="1"/>
      <c r="F49" s="1"/>
      <c r="G49" s="1"/>
      <c r="H49" s="1"/>
      <c r="I49" s="1"/>
    </row>
  </sheetData>
  <mergeCells count="41">
    <mergeCell ref="E1:G1"/>
    <mergeCell ref="E2:G2"/>
    <mergeCell ref="A1:C1"/>
    <mergeCell ref="A20:G20"/>
    <mergeCell ref="A21:G21"/>
    <mergeCell ref="A18:G18"/>
    <mergeCell ref="A12:G12"/>
    <mergeCell ref="A7:C7"/>
    <mergeCell ref="D7:E7"/>
    <mergeCell ref="G7:H7"/>
    <mergeCell ref="A13:G13"/>
    <mergeCell ref="A14:G14"/>
    <mergeCell ref="A15:G15"/>
    <mergeCell ref="A16:G16"/>
    <mergeCell ref="A17:G17"/>
    <mergeCell ref="A19:G19"/>
    <mergeCell ref="A22:G22"/>
    <mergeCell ref="A23:G23"/>
    <mergeCell ref="A34:G34"/>
    <mergeCell ref="A25:G25"/>
    <mergeCell ref="A26:G26"/>
    <mergeCell ref="A27:G27"/>
    <mergeCell ref="A28:G28"/>
    <mergeCell ref="A33:G33"/>
    <mergeCell ref="A24:G24"/>
    <mergeCell ref="A46:H46"/>
    <mergeCell ref="A35:G35"/>
    <mergeCell ref="A44:G44"/>
    <mergeCell ref="A45:G45"/>
    <mergeCell ref="A29:G29"/>
    <mergeCell ref="A30:G30"/>
    <mergeCell ref="A31:G31"/>
    <mergeCell ref="A32:G32"/>
    <mergeCell ref="A36:G36"/>
    <mergeCell ref="A37:G37"/>
    <mergeCell ref="A38:G38"/>
    <mergeCell ref="A39:G39"/>
    <mergeCell ref="A40:G40"/>
    <mergeCell ref="A41:G41"/>
    <mergeCell ref="A42:G42"/>
    <mergeCell ref="A43:G43"/>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J39"/>
  <sheetViews>
    <sheetView zoomScaleNormal="100" zoomScaleSheetLayoutView="100" workbookViewId="0"/>
  </sheetViews>
  <sheetFormatPr defaultRowHeight="12.5" x14ac:dyDescent="0.25"/>
  <cols>
    <col min="1" max="1" width="3.26953125" customWidth="1"/>
    <col min="2" max="2" width="13.26953125" customWidth="1"/>
    <col min="3" max="3" width="12.453125" customWidth="1"/>
    <col min="4" max="4" width="8.7265625" customWidth="1"/>
    <col min="6" max="6" width="5.81640625" customWidth="1"/>
    <col min="7" max="7" width="15.453125" customWidth="1"/>
    <col min="8" max="8" width="13.54296875" customWidth="1"/>
    <col min="9" max="9" width="13.453125" customWidth="1"/>
    <col min="10" max="10" width="10.81640625" customWidth="1"/>
  </cols>
  <sheetData>
    <row r="1" spans="1:10" ht="18.5" x14ac:dyDescent="0.25">
      <c r="A1" s="161" t="s">
        <v>326</v>
      </c>
      <c r="B1" s="74"/>
      <c r="C1" s="74"/>
      <c r="D1" s="74"/>
      <c r="E1" s="74"/>
      <c r="F1" s="74"/>
      <c r="G1" s="74"/>
      <c r="H1" s="74"/>
      <c r="I1" s="74"/>
      <c r="J1" s="74"/>
    </row>
    <row r="2" spans="1:10" ht="18.5" x14ac:dyDescent="0.25">
      <c r="A2" s="157"/>
    </row>
    <row r="3" spans="1:10" s="162" customFormat="1" ht="29.25" customHeight="1" thickBot="1" x14ac:dyDescent="0.4">
      <c r="A3" s="163" t="s">
        <v>152</v>
      </c>
      <c r="B3" s="413"/>
      <c r="C3" s="414"/>
      <c r="D3" s="414"/>
      <c r="E3" s="162" t="s">
        <v>164</v>
      </c>
    </row>
    <row r="4" spans="1:10" s="162" customFormat="1" ht="14.5" x14ac:dyDescent="0.35">
      <c r="B4" s="163" t="s">
        <v>165</v>
      </c>
    </row>
    <row r="5" spans="1:10" s="162" customFormat="1" ht="14.5" x14ac:dyDescent="0.35">
      <c r="B5" s="163" t="s">
        <v>166</v>
      </c>
    </row>
    <row r="6" spans="1:10" s="162" customFormat="1" ht="14.5" x14ac:dyDescent="0.35"/>
    <row r="7" spans="1:10" s="162" customFormat="1" ht="14.5" x14ac:dyDescent="0.35">
      <c r="A7" s="163" t="s">
        <v>150</v>
      </c>
    </row>
    <row r="8" spans="1:10" s="162" customFormat="1" ht="14.5" x14ac:dyDescent="0.35">
      <c r="A8" s="164" t="s">
        <v>154</v>
      </c>
    </row>
    <row r="9" spans="1:10" s="162" customFormat="1" ht="14.5" x14ac:dyDescent="0.35">
      <c r="A9" s="164" t="s">
        <v>155</v>
      </c>
    </row>
    <row r="10" spans="1:10" s="162" customFormat="1" ht="14.5" x14ac:dyDescent="0.35">
      <c r="A10" s="164" t="s">
        <v>156</v>
      </c>
    </row>
    <row r="11" spans="1:10" s="162" customFormat="1" ht="14.5" x14ac:dyDescent="0.35">
      <c r="A11" s="164" t="s">
        <v>167</v>
      </c>
    </row>
    <row r="12" spans="1:10" s="162" customFormat="1" ht="14.5" x14ac:dyDescent="0.35">
      <c r="A12" s="164"/>
      <c r="C12" s="162" t="s">
        <v>168</v>
      </c>
    </row>
    <row r="13" spans="1:10" s="162" customFormat="1" ht="14.5" x14ac:dyDescent="0.35">
      <c r="A13" s="164" t="s">
        <v>169</v>
      </c>
    </row>
    <row r="14" spans="1:10" s="162" customFormat="1" ht="14.5" x14ac:dyDescent="0.35">
      <c r="A14" s="164"/>
      <c r="C14" s="162" t="s">
        <v>170</v>
      </c>
    </row>
    <row r="15" spans="1:10" s="162" customFormat="1" ht="14.5" x14ac:dyDescent="0.35">
      <c r="A15" s="164" t="s">
        <v>162</v>
      </c>
    </row>
    <row r="16" spans="1:10" s="162" customFormat="1" ht="14.5" x14ac:dyDescent="0.35">
      <c r="A16" s="164"/>
      <c r="C16" s="162" t="s">
        <v>153</v>
      </c>
    </row>
    <row r="17" spans="1:9" s="162" customFormat="1" ht="14.5" x14ac:dyDescent="0.35">
      <c r="A17" s="164" t="s">
        <v>157</v>
      </c>
    </row>
    <row r="18" spans="1:9" s="162" customFormat="1" ht="14.5" x14ac:dyDescent="0.35">
      <c r="A18" s="164" t="s">
        <v>171</v>
      </c>
    </row>
    <row r="19" spans="1:9" s="162" customFormat="1" ht="14.5" x14ac:dyDescent="0.35">
      <c r="A19" s="163"/>
      <c r="C19" s="162" t="s">
        <v>172</v>
      </c>
    </row>
    <row r="20" spans="1:9" s="162" customFormat="1" ht="14.5" x14ac:dyDescent="0.35">
      <c r="A20" s="163"/>
    </row>
    <row r="21" spans="1:9" s="162" customFormat="1" ht="14.5" x14ac:dyDescent="0.35">
      <c r="A21" s="163" t="s">
        <v>163</v>
      </c>
    </row>
    <row r="22" spans="1:9" s="162" customFormat="1" ht="15" thickBot="1" x14ac:dyDescent="0.4">
      <c r="A22" s="163" t="s">
        <v>158</v>
      </c>
      <c r="C22" s="219"/>
      <c r="D22" s="162" t="s">
        <v>159</v>
      </c>
      <c r="H22" s="219"/>
      <c r="I22" s="162" t="s">
        <v>160</v>
      </c>
    </row>
    <row r="23" spans="1:9" s="162" customFormat="1" ht="15" thickBot="1" x14ac:dyDescent="0.4">
      <c r="A23" s="162" t="s">
        <v>217</v>
      </c>
      <c r="E23" s="415"/>
      <c r="F23" s="416"/>
      <c r="G23" s="162" t="s">
        <v>161</v>
      </c>
    </row>
    <row r="24" spans="1:9" s="162" customFormat="1" ht="14.5" x14ac:dyDescent="0.35">
      <c r="A24" s="163"/>
    </row>
    <row r="25" spans="1:9" s="162" customFormat="1" ht="14.5" x14ac:dyDescent="0.35">
      <c r="A25" s="165" t="s">
        <v>173</v>
      </c>
    </row>
    <row r="26" spans="1:9" s="162" customFormat="1" ht="14.5" x14ac:dyDescent="0.35">
      <c r="A26" s="166"/>
      <c r="B26" s="162" t="s">
        <v>174</v>
      </c>
    </row>
    <row r="27" spans="1:9" s="162" customFormat="1" ht="14.5" x14ac:dyDescent="0.35">
      <c r="A27" s="166"/>
    </row>
    <row r="28" spans="1:9" s="162" customFormat="1" ht="14.5" x14ac:dyDescent="0.35">
      <c r="A28" s="163" t="s">
        <v>175</v>
      </c>
    </row>
    <row r="29" spans="1:9" s="162" customFormat="1" ht="14.5" x14ac:dyDescent="0.35">
      <c r="A29" s="163"/>
      <c r="B29" s="162" t="s">
        <v>187</v>
      </c>
    </row>
    <row r="30" spans="1:9" s="162" customFormat="1" ht="14.5" x14ac:dyDescent="0.35">
      <c r="A30" s="163"/>
      <c r="B30" s="162" t="s">
        <v>176</v>
      </c>
    </row>
    <row r="31" spans="1:9" s="162" customFormat="1" ht="14.5" x14ac:dyDescent="0.35">
      <c r="A31" s="163"/>
    </row>
    <row r="32" spans="1:9" s="162" customFormat="1" ht="16" thickBot="1" x14ac:dyDescent="0.5">
      <c r="A32" s="417" t="s">
        <v>188</v>
      </c>
      <c r="B32" s="418"/>
      <c r="C32" s="419"/>
      <c r="D32" s="420"/>
      <c r="E32" s="420"/>
      <c r="F32" s="420"/>
      <c r="G32" s="221" t="s">
        <v>189</v>
      </c>
      <c r="H32" s="220"/>
    </row>
    <row r="33" spans="1:8" s="162" customFormat="1" ht="14.5" x14ac:dyDescent="0.35">
      <c r="A33" s="163"/>
      <c r="C33" s="193"/>
      <c r="D33" s="193"/>
      <c r="E33" s="193"/>
      <c r="F33" s="193"/>
      <c r="G33" s="221"/>
      <c r="H33" s="193"/>
    </row>
    <row r="34" spans="1:8" s="162" customFormat="1" ht="16" thickBot="1" x14ac:dyDescent="0.5">
      <c r="A34" s="417" t="s">
        <v>190</v>
      </c>
      <c r="B34" s="418"/>
      <c r="C34" s="421"/>
      <c r="D34" s="422"/>
      <c r="E34" s="422"/>
      <c r="F34" s="422"/>
      <c r="G34" s="221" t="s">
        <v>191</v>
      </c>
      <c r="H34" s="220"/>
    </row>
    <row r="35" spans="1:8" s="162" customFormat="1" ht="14.5" x14ac:dyDescent="0.35">
      <c r="A35" s="163"/>
      <c r="C35" s="193"/>
      <c r="D35" s="193"/>
      <c r="E35" s="193"/>
      <c r="F35" s="193"/>
      <c r="H35" s="193"/>
    </row>
    <row r="36" spans="1:8" ht="15.5" x14ac:dyDescent="0.25">
      <c r="A36" s="158"/>
    </row>
    <row r="37" spans="1:8" x14ac:dyDescent="0.25">
      <c r="A37" s="159"/>
    </row>
    <row r="38" spans="1:8" x14ac:dyDescent="0.25">
      <c r="A38" s="159"/>
    </row>
    <row r="39" spans="1:8" ht="13" x14ac:dyDescent="0.25">
      <c r="A39" s="160" t="s">
        <v>151</v>
      </c>
    </row>
  </sheetData>
  <sheetProtection sheet="1" objects="1" scenarios="1"/>
  <mergeCells count="6">
    <mergeCell ref="B3:D3"/>
    <mergeCell ref="E23:F23"/>
    <mergeCell ref="A32:B32"/>
    <mergeCell ref="C32:F32"/>
    <mergeCell ref="A34:B34"/>
    <mergeCell ref="C34:F34"/>
  </mergeCells>
  <pageMargins left="0.5" right="0.5" top="0.5" bottom="0.5" header="0.3" footer="0.3"/>
  <pageSetup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45"/>
  <sheetViews>
    <sheetView zoomScaleNormal="100" workbookViewId="0">
      <selection sqref="A1:B1"/>
    </sheetView>
  </sheetViews>
  <sheetFormatPr defaultRowHeight="12.5" x14ac:dyDescent="0.25"/>
  <cols>
    <col min="1" max="1" width="17.7265625" customWidth="1"/>
    <col min="2" max="2" width="9" customWidth="1"/>
    <col min="3" max="3" width="9.453125" customWidth="1"/>
    <col min="4" max="4" width="8.26953125" customWidth="1"/>
    <col min="5" max="5" width="5.7265625" customWidth="1"/>
    <col min="6" max="6" width="13.453125" style="41" customWidth="1"/>
    <col min="7" max="7" width="15.26953125" style="41" customWidth="1"/>
    <col min="8" max="8" width="2.26953125" style="41" customWidth="1"/>
    <col min="10" max="10" width="10.1796875" customWidth="1"/>
    <col min="11" max="11" width="4.7265625" customWidth="1"/>
    <col min="12" max="14" width="9.54296875" hidden="1" customWidth="1"/>
    <col min="15" max="15" width="9.1796875" hidden="1" customWidth="1"/>
    <col min="16" max="16" width="0" hidden="1" customWidth="1"/>
  </cols>
  <sheetData>
    <row r="1" spans="1:16" ht="47.25" customHeight="1" thickBot="1" x14ac:dyDescent="0.3">
      <c r="A1" s="387" t="str">
        <f>IF(AND(Eligibility!H1="",Eligibility!A1=""),"No Name Please Fill Out Eligibility Tab",IF(NOT(Eligibility!A1=""),Eligibility!A1,""))</f>
        <v>No Name Please Fill Out Eligibility Tab</v>
      </c>
      <c r="B1" s="388"/>
      <c r="C1" s="41"/>
      <c r="D1" s="388" t="str">
        <f>IF(AND(Eligibility!H1="",Eligibility!A1=""),"No Case # Please Fill Out Eligibility Tab",IF(NOT(Eligibility!H1=""),Eligibility!H1,""))</f>
        <v>No Case # Please Fill Out Eligibility Tab</v>
      </c>
      <c r="E1" s="264"/>
      <c r="F1" s="225"/>
      <c r="G1" s="227" t="str">
        <f>IF(Eligibility!O1="","Please Enter Agency Initials on Eligibility tab",Eligibility!O1)</f>
        <v>Please Enter Agency Initials on Eligibility tab</v>
      </c>
      <c r="H1" s="2"/>
      <c r="I1" s="441">
        <f ca="1">TODAY()</f>
        <v>45692</v>
      </c>
      <c r="J1" s="442"/>
    </row>
    <row r="2" spans="1:16" ht="13" thickTop="1" x14ac:dyDescent="0.25">
      <c r="A2" s="320" t="s">
        <v>16</v>
      </c>
      <c r="B2" s="385"/>
      <c r="C2" s="41"/>
      <c r="D2" s="425" t="s">
        <v>17</v>
      </c>
      <c r="E2" s="356"/>
      <c r="F2"/>
      <c r="G2" s="226" t="s">
        <v>224</v>
      </c>
      <c r="H2" s="2"/>
      <c r="I2" s="443" t="s">
        <v>88</v>
      </c>
      <c r="J2" s="356"/>
    </row>
    <row r="3" spans="1:16" ht="22.5" x14ac:dyDescent="0.25">
      <c r="A3" s="446" t="s">
        <v>84</v>
      </c>
      <c r="B3" s="410"/>
      <c r="C3" s="410"/>
      <c r="D3" s="410"/>
      <c r="E3" s="410"/>
      <c r="F3" s="410"/>
      <c r="G3" s="410"/>
      <c r="H3" s="410"/>
      <c r="I3" s="410"/>
      <c r="J3" s="410"/>
      <c r="K3" s="410"/>
      <c r="L3" s="72"/>
      <c r="M3" s="72"/>
    </row>
    <row r="4" spans="1:16" ht="22.5" x14ac:dyDescent="0.25">
      <c r="A4" s="124" t="s">
        <v>144</v>
      </c>
      <c r="B4" s="72"/>
      <c r="C4" s="72"/>
      <c r="D4" s="72"/>
      <c r="E4" s="72"/>
      <c r="F4" s="72"/>
      <c r="G4" s="72"/>
      <c r="H4" s="72"/>
      <c r="I4" s="72"/>
      <c r="J4" s="72"/>
      <c r="K4" s="64"/>
      <c r="L4" s="72"/>
      <c r="M4" s="72"/>
    </row>
    <row r="5" spans="1:16" ht="11.25" customHeight="1" x14ac:dyDescent="0.35">
      <c r="A5" s="88"/>
    </row>
    <row r="6" spans="1:16" ht="27" customHeight="1" x14ac:dyDescent="0.35">
      <c r="A6" s="449" t="s">
        <v>91</v>
      </c>
      <c r="B6" s="450"/>
      <c r="C6" s="450"/>
      <c r="D6" s="452"/>
      <c r="E6" s="452"/>
      <c r="F6" s="86" t="s">
        <v>92</v>
      </c>
      <c r="G6" s="451" t="str">
        <f>IF(D6=0,"",D6+365)</f>
        <v/>
      </c>
      <c r="H6" s="451"/>
      <c r="J6" s="94"/>
      <c r="P6" s="1"/>
    </row>
    <row r="7" spans="1:16" ht="15.5" x14ac:dyDescent="0.35">
      <c r="B7" s="43"/>
      <c r="C7" s="43"/>
      <c r="D7" s="439" t="s">
        <v>93</v>
      </c>
      <c r="E7" s="440"/>
      <c r="F7" s="76"/>
      <c r="G7" s="76" t="s">
        <v>94</v>
      </c>
      <c r="H7" s="217"/>
      <c r="M7" s="71" t="s">
        <v>232</v>
      </c>
      <c r="P7" s="1"/>
    </row>
    <row r="8" spans="1:16" ht="17.5" x14ac:dyDescent="0.35">
      <c r="A8" s="103" t="s">
        <v>97</v>
      </c>
      <c r="B8" s="229" t="s">
        <v>232</v>
      </c>
      <c r="C8" s="104" t="s">
        <v>98</v>
      </c>
      <c r="D8" s="71"/>
      <c r="E8" s="1"/>
      <c r="F8" s="10"/>
      <c r="H8" s="2"/>
      <c r="I8" s="76"/>
      <c r="J8" s="88"/>
      <c r="M8" s="71"/>
    </row>
    <row r="9" spans="1:16" ht="31.5" customHeight="1" x14ac:dyDescent="0.35">
      <c r="A9" s="120" t="str">
        <f>IF(I11="Cat 1","Client has no Annual Cap, NO CHARGES Necessary",IF(AND(A1=0,D1=0),"Please Enter Name or Case # on "&amp;B8&amp; " Tab ",""))</f>
        <v/>
      </c>
      <c r="B9" s="119"/>
      <c r="C9" s="104"/>
      <c r="D9" s="41"/>
      <c r="E9" s="1"/>
      <c r="F9" s="10"/>
      <c r="G9" s="215"/>
      <c r="H9" s="2"/>
      <c r="I9" s="76"/>
      <c r="J9" s="88"/>
    </row>
    <row r="10" spans="1:16" ht="17.5" x14ac:dyDescent="0.35">
      <c r="A10" s="135" t="str">
        <f>IF(OR(D6=0,G6=0),"Please Enter Start Date",IF(SUM(N16:N53)&gt;0,"One or More Dates are Not Within Determination Year",""))</f>
        <v>Please Enter Start Date</v>
      </c>
      <c r="C10" s="74"/>
      <c r="D10" s="74"/>
      <c r="E10" s="89"/>
      <c r="F10" s="10"/>
      <c r="G10" s="216" t="str">
        <f>IF(B13="N/A","Please Verify Data on the "&amp;B8&amp;" Tab","")</f>
        <v>Please Verify Data on the Eligibility Tab</v>
      </c>
      <c r="H10" s="2"/>
      <c r="I10" s="87"/>
      <c r="J10" s="74"/>
    </row>
    <row r="11" spans="1:16" ht="15.5" x14ac:dyDescent="0.35">
      <c r="A11" s="208" t="str">
        <f>IF(LEFT(A10,3)="One","Please Fix or Delete Out of Date Items",IF(SUM(O19:O42)&gt;0,"Date Paid or Amount is Missing",""))</f>
        <v/>
      </c>
      <c r="B11" s="74"/>
      <c r="C11" s="74"/>
      <c r="D11" s="74"/>
      <c r="E11" s="74"/>
      <c r="G11" s="75" t="s">
        <v>231</v>
      </c>
      <c r="I11" s="427" t="str">
        <f>IF(AND(LEFT(B8,5)="Eligi",Eligibility!B57&gt;=0),Eligibility!B57,"Choose Tab")</f>
        <v>N/A</v>
      </c>
      <c r="J11" s="428"/>
    </row>
    <row r="12" spans="1:16" ht="7.5" customHeight="1" x14ac:dyDescent="0.35">
      <c r="A12" s="208"/>
      <c r="B12" s="74"/>
      <c r="C12" s="74"/>
      <c r="D12" s="74"/>
      <c r="E12" s="74"/>
      <c r="I12" s="74"/>
      <c r="J12" s="88"/>
    </row>
    <row r="13" spans="1:16" ht="15.5" x14ac:dyDescent="0.35">
      <c r="A13" s="93" t="s">
        <v>85</v>
      </c>
      <c r="B13" s="447" t="str">
        <f>IF(AND(LEFT(B8,5)="Eligi",Eligibility!B53&gt;=0),Eligibility!B53,"Choose Tab")</f>
        <v>N/A</v>
      </c>
      <c r="C13" s="448"/>
      <c r="E13" s="75"/>
      <c r="F13" s="209"/>
      <c r="G13" s="450" t="s">
        <v>86</v>
      </c>
      <c r="H13" s="455"/>
      <c r="I13" s="447" t="str">
        <f>IF(AND(LEFT(B8,5)="Eligi",Eligibility!Q57&gt;=0),Eligibility!Q57,"Choose Tab")</f>
        <v>N/A</v>
      </c>
      <c r="J13" s="448"/>
      <c r="L13" s="154"/>
    </row>
    <row r="14" spans="1:16" ht="7.15" customHeight="1" x14ac:dyDescent="0.25">
      <c r="I14" s="41"/>
      <c r="J14" s="41"/>
    </row>
    <row r="15" spans="1:16" ht="31" x14ac:dyDescent="0.35">
      <c r="A15" s="77" t="s">
        <v>198</v>
      </c>
      <c r="B15" s="432">
        <f>I43+0</f>
        <v>0</v>
      </c>
      <c r="C15" s="433"/>
      <c r="D15" s="78"/>
      <c r="E15" s="77"/>
      <c r="F15" s="210"/>
      <c r="G15" s="453" t="s">
        <v>113</v>
      </c>
      <c r="H15" s="454"/>
      <c r="I15" s="444">
        <f>IF(OR(D6=0,G6=0),0,IF(I13&gt;0,I13-B15,IF(I13=0,0,"N/A")))</f>
        <v>0</v>
      </c>
      <c r="J15" s="445"/>
    </row>
    <row r="16" spans="1:16" ht="8.5" customHeight="1" x14ac:dyDescent="0.25"/>
    <row r="17" spans="1:15" ht="22.5" x14ac:dyDescent="0.45">
      <c r="A17" s="73" t="s">
        <v>196</v>
      </c>
      <c r="B17" s="74"/>
      <c r="C17" s="74"/>
      <c r="D17" s="74"/>
      <c r="E17" s="74"/>
    </row>
    <row r="18" spans="1:15" x14ac:dyDescent="0.25">
      <c r="A18" s="462" t="s">
        <v>197</v>
      </c>
      <c r="B18" s="356"/>
      <c r="C18" s="356"/>
      <c r="D18" s="356"/>
      <c r="E18" s="74"/>
      <c r="F18" s="119" t="s">
        <v>199</v>
      </c>
      <c r="G18" s="190" t="s">
        <v>18</v>
      </c>
      <c r="I18" s="463" t="s">
        <v>87</v>
      </c>
      <c r="J18" s="464"/>
    </row>
    <row r="19" spans="1:15" x14ac:dyDescent="0.25">
      <c r="A19" s="465"/>
      <c r="B19" s="404"/>
      <c r="C19" s="404"/>
      <c r="D19" s="404"/>
      <c r="E19" s="405"/>
      <c r="F19" s="211"/>
      <c r="G19" s="457"/>
      <c r="H19" s="458"/>
      <c r="I19" s="437"/>
      <c r="J19" s="438"/>
      <c r="N19" s="71" t="str">
        <f>IF(G19="","",IF(G$6&lt;G19,1,IF(G$6-365&gt;G19,1,"")))</f>
        <v/>
      </c>
      <c r="O19" t="str">
        <f>IF(AND(I19=0,G19=0),"",IF(AND(NOT(I19=0),NOT(G19=0)),"",1))</f>
        <v/>
      </c>
    </row>
    <row r="20" spans="1:15" x14ac:dyDescent="0.25">
      <c r="A20" s="456"/>
      <c r="B20" s="430"/>
      <c r="C20" s="430"/>
      <c r="D20" s="430"/>
      <c r="E20" s="431"/>
      <c r="F20" s="211"/>
      <c r="G20" s="459"/>
      <c r="H20" s="436"/>
      <c r="I20" s="437"/>
      <c r="J20" s="438"/>
      <c r="N20" s="71" t="str">
        <f t="shared" ref="N20:N42" si="0">IF(G20="","",IF(G$6&lt;G20,1,IF(G$6-365&gt;G20,1,"")))</f>
        <v/>
      </c>
      <c r="O20" t="str">
        <f t="shared" ref="O20:O42" si="1">IF(AND(I20=0,G20=0),"",IF(AND(NOT(I20=0),NOT(G20=0)),"",1))</f>
        <v/>
      </c>
    </row>
    <row r="21" spans="1:15" x14ac:dyDescent="0.25">
      <c r="A21" s="456"/>
      <c r="B21" s="430"/>
      <c r="C21" s="430"/>
      <c r="D21" s="430"/>
      <c r="E21" s="431"/>
      <c r="F21" s="211"/>
      <c r="G21" s="434"/>
      <c r="H21" s="435"/>
      <c r="I21" s="424"/>
      <c r="J21" s="436"/>
      <c r="N21" s="71" t="str">
        <f t="shared" si="0"/>
        <v/>
      </c>
      <c r="O21" t="str">
        <f t="shared" si="1"/>
        <v/>
      </c>
    </row>
    <row r="22" spans="1:15" ht="14.25" customHeight="1" x14ac:dyDescent="0.25">
      <c r="A22" s="423"/>
      <c r="B22" s="430"/>
      <c r="C22" s="430"/>
      <c r="D22" s="430"/>
      <c r="E22" s="431"/>
      <c r="F22" s="212"/>
      <c r="G22" s="434"/>
      <c r="H22" s="435"/>
      <c r="I22" s="424"/>
      <c r="J22" s="436"/>
      <c r="N22" s="71" t="str">
        <f t="shared" si="0"/>
        <v/>
      </c>
      <c r="O22" t="str">
        <f t="shared" si="1"/>
        <v/>
      </c>
    </row>
    <row r="23" spans="1:15" ht="14.25" customHeight="1" x14ac:dyDescent="0.25">
      <c r="A23" s="423"/>
      <c r="B23" s="430"/>
      <c r="C23" s="430"/>
      <c r="D23" s="430"/>
      <c r="E23" s="431"/>
      <c r="F23" s="212"/>
      <c r="G23" s="434"/>
      <c r="H23" s="435"/>
      <c r="I23" s="424"/>
      <c r="J23" s="436"/>
      <c r="N23" s="71" t="str">
        <f t="shared" si="0"/>
        <v/>
      </c>
      <c r="O23" t="str">
        <f t="shared" si="1"/>
        <v/>
      </c>
    </row>
    <row r="24" spans="1:15" ht="14.25" customHeight="1" x14ac:dyDescent="0.25">
      <c r="A24" s="423"/>
      <c r="B24" s="430"/>
      <c r="C24" s="430"/>
      <c r="D24" s="430"/>
      <c r="E24" s="431"/>
      <c r="F24" s="212"/>
      <c r="G24" s="435"/>
      <c r="H24" s="435"/>
      <c r="I24" s="424"/>
      <c r="J24" s="436"/>
      <c r="N24" s="71" t="str">
        <f t="shared" si="0"/>
        <v/>
      </c>
      <c r="O24" t="str">
        <f t="shared" si="1"/>
        <v/>
      </c>
    </row>
    <row r="25" spans="1:15" ht="14.25" customHeight="1" x14ac:dyDescent="0.25">
      <c r="A25" s="423"/>
      <c r="B25" s="430"/>
      <c r="C25" s="430"/>
      <c r="D25" s="430"/>
      <c r="E25" s="431"/>
      <c r="F25" s="212"/>
      <c r="G25" s="435"/>
      <c r="H25" s="435"/>
      <c r="I25" s="424"/>
      <c r="J25" s="436"/>
      <c r="N25" s="71" t="str">
        <f t="shared" si="0"/>
        <v/>
      </c>
      <c r="O25" t="str">
        <f t="shared" si="1"/>
        <v/>
      </c>
    </row>
    <row r="26" spans="1:15" ht="14.25" customHeight="1" x14ac:dyDescent="0.25">
      <c r="A26" s="423"/>
      <c r="B26" s="430"/>
      <c r="C26" s="430"/>
      <c r="D26" s="430"/>
      <c r="E26" s="431"/>
      <c r="F26" s="212"/>
      <c r="G26" s="435"/>
      <c r="H26" s="435"/>
      <c r="I26" s="424"/>
      <c r="J26" s="436"/>
      <c r="N26" s="71" t="str">
        <f t="shared" si="0"/>
        <v/>
      </c>
      <c r="O26" t="str">
        <f t="shared" si="1"/>
        <v/>
      </c>
    </row>
    <row r="27" spans="1:15" ht="14.25" customHeight="1" x14ac:dyDescent="0.25">
      <c r="A27" s="423"/>
      <c r="B27" s="430"/>
      <c r="C27" s="430"/>
      <c r="D27" s="430"/>
      <c r="E27" s="431"/>
      <c r="F27" s="212"/>
      <c r="G27" s="435"/>
      <c r="H27" s="435"/>
      <c r="I27" s="424"/>
      <c r="J27" s="436"/>
      <c r="N27" s="71" t="str">
        <f t="shared" si="0"/>
        <v/>
      </c>
      <c r="O27" t="str">
        <f t="shared" si="1"/>
        <v/>
      </c>
    </row>
    <row r="28" spans="1:15" ht="14.25" customHeight="1" x14ac:dyDescent="0.25">
      <c r="A28" s="423"/>
      <c r="B28" s="430"/>
      <c r="C28" s="430"/>
      <c r="D28" s="430"/>
      <c r="E28" s="431"/>
      <c r="F28" s="212"/>
      <c r="G28" s="435"/>
      <c r="H28" s="435"/>
      <c r="I28" s="424"/>
      <c r="J28" s="436"/>
      <c r="N28" s="71" t="str">
        <f t="shared" si="0"/>
        <v/>
      </c>
      <c r="O28" t="str">
        <f t="shared" si="1"/>
        <v/>
      </c>
    </row>
    <row r="29" spans="1:15" ht="14.25" customHeight="1" x14ac:dyDescent="0.25">
      <c r="A29" s="423"/>
      <c r="B29" s="430"/>
      <c r="C29" s="430"/>
      <c r="D29" s="430"/>
      <c r="E29" s="431"/>
      <c r="F29" s="212"/>
      <c r="G29" s="435"/>
      <c r="H29" s="435"/>
      <c r="I29" s="424"/>
      <c r="J29" s="436"/>
      <c r="N29" s="71" t="str">
        <f t="shared" si="0"/>
        <v/>
      </c>
      <c r="O29" t="str">
        <f t="shared" si="1"/>
        <v/>
      </c>
    </row>
    <row r="30" spans="1:15" ht="14.25" customHeight="1" x14ac:dyDescent="0.25">
      <c r="A30" s="423"/>
      <c r="B30" s="430"/>
      <c r="C30" s="430"/>
      <c r="D30" s="430"/>
      <c r="E30" s="431"/>
      <c r="F30" s="212"/>
      <c r="G30" s="435"/>
      <c r="H30" s="435"/>
      <c r="I30" s="424"/>
      <c r="J30" s="436"/>
      <c r="N30" s="71" t="str">
        <f t="shared" si="0"/>
        <v/>
      </c>
      <c r="O30" t="str">
        <f t="shared" si="1"/>
        <v/>
      </c>
    </row>
    <row r="31" spans="1:15" ht="14.25" customHeight="1" x14ac:dyDescent="0.25">
      <c r="A31" s="423"/>
      <c r="B31" s="430"/>
      <c r="C31" s="430"/>
      <c r="D31" s="430"/>
      <c r="E31" s="431"/>
      <c r="F31" s="212"/>
      <c r="G31" s="435"/>
      <c r="H31" s="435"/>
      <c r="I31" s="424"/>
      <c r="J31" s="436"/>
      <c r="N31" s="71" t="str">
        <f t="shared" si="0"/>
        <v/>
      </c>
      <c r="O31" t="str">
        <f t="shared" si="1"/>
        <v/>
      </c>
    </row>
    <row r="32" spans="1:15" ht="14.25" customHeight="1" x14ac:dyDescent="0.25">
      <c r="A32" s="423"/>
      <c r="B32" s="430"/>
      <c r="C32" s="430"/>
      <c r="D32" s="430"/>
      <c r="E32" s="431"/>
      <c r="F32" s="212"/>
      <c r="G32" s="435"/>
      <c r="H32" s="435"/>
      <c r="I32" s="424"/>
      <c r="J32" s="436"/>
      <c r="N32" s="71" t="str">
        <f t="shared" si="0"/>
        <v/>
      </c>
      <c r="O32" t="str">
        <f t="shared" si="1"/>
        <v/>
      </c>
    </row>
    <row r="33" spans="1:15" ht="14.25" customHeight="1" x14ac:dyDescent="0.25">
      <c r="A33" s="423"/>
      <c r="B33" s="430"/>
      <c r="C33" s="430"/>
      <c r="D33" s="430"/>
      <c r="E33" s="431"/>
      <c r="F33" s="212"/>
      <c r="G33" s="435"/>
      <c r="H33" s="435"/>
      <c r="I33" s="424"/>
      <c r="J33" s="436"/>
      <c r="N33" s="71" t="str">
        <f t="shared" si="0"/>
        <v/>
      </c>
      <c r="O33" t="str">
        <f t="shared" si="1"/>
        <v/>
      </c>
    </row>
    <row r="34" spans="1:15" ht="14.25" customHeight="1" x14ac:dyDescent="0.25">
      <c r="A34" s="423"/>
      <c r="B34" s="284"/>
      <c r="C34" s="284"/>
      <c r="D34" s="284"/>
      <c r="E34" s="307"/>
      <c r="F34" s="212"/>
      <c r="G34" s="429"/>
      <c r="H34" s="330"/>
      <c r="I34" s="424"/>
      <c r="J34" s="330"/>
      <c r="N34" s="71" t="str">
        <f t="shared" si="0"/>
        <v/>
      </c>
      <c r="O34" t="str">
        <f t="shared" si="1"/>
        <v/>
      </c>
    </row>
    <row r="35" spans="1:15" ht="14.25" customHeight="1" x14ac:dyDescent="0.25">
      <c r="A35" s="423"/>
      <c r="B35" s="284"/>
      <c r="C35" s="284"/>
      <c r="D35" s="284"/>
      <c r="E35" s="307"/>
      <c r="F35" s="212"/>
      <c r="G35" s="429"/>
      <c r="H35" s="330"/>
      <c r="I35" s="424"/>
      <c r="J35" s="330"/>
      <c r="N35" s="71" t="str">
        <f t="shared" si="0"/>
        <v/>
      </c>
      <c r="O35" t="str">
        <f t="shared" si="1"/>
        <v/>
      </c>
    </row>
    <row r="36" spans="1:15" ht="14.25" customHeight="1" x14ac:dyDescent="0.25">
      <c r="A36" s="423"/>
      <c r="B36" s="284"/>
      <c r="C36" s="284"/>
      <c r="D36" s="284"/>
      <c r="E36" s="307"/>
      <c r="F36" s="212"/>
      <c r="G36" s="429"/>
      <c r="H36" s="330"/>
      <c r="I36" s="424"/>
      <c r="J36" s="330"/>
      <c r="N36" s="71" t="str">
        <f t="shared" si="0"/>
        <v/>
      </c>
      <c r="O36" t="str">
        <f t="shared" si="1"/>
        <v/>
      </c>
    </row>
    <row r="37" spans="1:15" ht="14.25" customHeight="1" x14ac:dyDescent="0.25">
      <c r="A37" s="423"/>
      <c r="B37" s="284"/>
      <c r="C37" s="284"/>
      <c r="D37" s="284"/>
      <c r="E37" s="307"/>
      <c r="F37" s="212"/>
      <c r="G37" s="429"/>
      <c r="H37" s="330"/>
      <c r="I37" s="424"/>
      <c r="J37" s="330"/>
      <c r="N37" s="71" t="str">
        <f t="shared" si="0"/>
        <v/>
      </c>
      <c r="O37" t="str">
        <f t="shared" si="1"/>
        <v/>
      </c>
    </row>
    <row r="38" spans="1:15" ht="14.25" customHeight="1" x14ac:dyDescent="0.25">
      <c r="A38" s="423"/>
      <c r="B38" s="430"/>
      <c r="C38" s="430"/>
      <c r="D38" s="430"/>
      <c r="E38" s="431"/>
      <c r="F38" s="212"/>
      <c r="G38" s="435"/>
      <c r="H38" s="435"/>
      <c r="I38" s="424"/>
      <c r="J38" s="436"/>
      <c r="N38" s="71" t="str">
        <f t="shared" si="0"/>
        <v/>
      </c>
      <c r="O38" t="str">
        <f t="shared" si="1"/>
        <v/>
      </c>
    </row>
    <row r="39" spans="1:15" ht="14.25" customHeight="1" x14ac:dyDescent="0.25">
      <c r="A39" s="423"/>
      <c r="B39" s="430"/>
      <c r="C39" s="430"/>
      <c r="D39" s="430"/>
      <c r="E39" s="431"/>
      <c r="F39" s="212"/>
      <c r="G39" s="435"/>
      <c r="H39" s="435"/>
      <c r="I39" s="424"/>
      <c r="J39" s="436"/>
      <c r="N39" s="71" t="str">
        <f t="shared" si="0"/>
        <v/>
      </c>
      <c r="O39" t="str">
        <f t="shared" si="1"/>
        <v/>
      </c>
    </row>
    <row r="40" spans="1:15" ht="14.25" customHeight="1" x14ac:dyDescent="0.25">
      <c r="A40" s="423"/>
      <c r="B40" s="430"/>
      <c r="C40" s="430"/>
      <c r="D40" s="430"/>
      <c r="E40" s="431"/>
      <c r="F40" s="212"/>
      <c r="G40" s="435"/>
      <c r="H40" s="435"/>
      <c r="I40" s="424"/>
      <c r="J40" s="436"/>
      <c r="N40" s="71" t="str">
        <f t="shared" si="0"/>
        <v/>
      </c>
      <c r="O40" t="str">
        <f t="shared" si="1"/>
        <v/>
      </c>
    </row>
    <row r="41" spans="1:15" ht="14.25" customHeight="1" x14ac:dyDescent="0.25">
      <c r="A41" s="423"/>
      <c r="B41" s="430"/>
      <c r="C41" s="430"/>
      <c r="D41" s="430"/>
      <c r="E41" s="431"/>
      <c r="F41" s="212"/>
      <c r="G41" s="435"/>
      <c r="H41" s="435"/>
      <c r="I41" s="424"/>
      <c r="J41" s="436"/>
      <c r="N41" s="71" t="str">
        <f t="shared" si="0"/>
        <v/>
      </c>
      <c r="O41" t="str">
        <f t="shared" si="1"/>
        <v/>
      </c>
    </row>
    <row r="42" spans="1:15" ht="14.25" customHeight="1" x14ac:dyDescent="0.25">
      <c r="A42" s="423"/>
      <c r="B42" s="430"/>
      <c r="C42" s="430"/>
      <c r="D42" s="430"/>
      <c r="E42" s="431"/>
      <c r="F42" s="212"/>
      <c r="G42" s="434"/>
      <c r="H42" s="435"/>
      <c r="I42" s="424"/>
      <c r="J42" s="436"/>
      <c r="N42" s="71" t="str">
        <f t="shared" si="0"/>
        <v/>
      </c>
      <c r="O42" t="str">
        <f t="shared" si="1"/>
        <v/>
      </c>
    </row>
    <row r="43" spans="1:15" ht="17.25" customHeight="1" x14ac:dyDescent="0.35">
      <c r="A43" s="245" t="str">
        <f>IF(I42&gt;0,"Please Start Another Current Year Charges Form","")</f>
        <v/>
      </c>
      <c r="G43" s="426" t="s">
        <v>96</v>
      </c>
      <c r="H43" s="418"/>
      <c r="I43" s="460">
        <f>IF(AND(A11="",A10=""),IF(A11="",SUM(I19:J42)),0)</f>
        <v>0</v>
      </c>
      <c r="J43" s="461"/>
    </row>
    <row r="44" spans="1:15" ht="17.25" customHeight="1" x14ac:dyDescent="0.25">
      <c r="A44" s="244" t="s">
        <v>276</v>
      </c>
      <c r="J44" s="63" t="str">
        <f>Eligibility!U42</f>
        <v>created 11/12</v>
      </c>
    </row>
    <row r="45" spans="1:15" ht="17.25" customHeight="1" x14ac:dyDescent="0.25"/>
  </sheetData>
  <sheetProtection sheet="1" objects="1" scenarios="1"/>
  <mergeCells count="94">
    <mergeCell ref="G41:H41"/>
    <mergeCell ref="A42:E42"/>
    <mergeCell ref="A25:E25"/>
    <mergeCell ref="A26:E26"/>
    <mergeCell ref="A39:E39"/>
    <mergeCell ref="A40:E40"/>
    <mergeCell ref="A41:E41"/>
    <mergeCell ref="A30:E30"/>
    <mergeCell ref="A31:E31"/>
    <mergeCell ref="A32:E32"/>
    <mergeCell ref="A33:E33"/>
    <mergeCell ref="A38:E38"/>
    <mergeCell ref="A29:E29"/>
    <mergeCell ref="A27:E27"/>
    <mergeCell ref="G34:H34"/>
    <mergeCell ref="G35:H35"/>
    <mergeCell ref="I41:J41"/>
    <mergeCell ref="I42:J42"/>
    <mergeCell ref="G24:H24"/>
    <mergeCell ref="G25:H25"/>
    <mergeCell ref="G26:H26"/>
    <mergeCell ref="G27:H27"/>
    <mergeCell ref="G28:H28"/>
    <mergeCell ref="G29:H29"/>
    <mergeCell ref="G30:H30"/>
    <mergeCell ref="G31:H31"/>
    <mergeCell ref="G32:H32"/>
    <mergeCell ref="G42:H42"/>
    <mergeCell ref="G33:H33"/>
    <mergeCell ref="G38:H38"/>
    <mergeCell ref="G39:H39"/>
    <mergeCell ref="G40:H40"/>
    <mergeCell ref="I43:J43"/>
    <mergeCell ref="A18:D18"/>
    <mergeCell ref="I18:J18"/>
    <mergeCell ref="A19:E19"/>
    <mergeCell ref="A20:E20"/>
    <mergeCell ref="I26:J26"/>
    <mergeCell ref="I38:J38"/>
    <mergeCell ref="I39:J39"/>
    <mergeCell ref="I40:J40"/>
    <mergeCell ref="I31:J31"/>
    <mergeCell ref="I32:J32"/>
    <mergeCell ref="I33:J33"/>
    <mergeCell ref="I28:J28"/>
    <mergeCell ref="I29:J29"/>
    <mergeCell ref="I30:J30"/>
    <mergeCell ref="A28:E28"/>
    <mergeCell ref="A21:E21"/>
    <mergeCell ref="A22:E22"/>
    <mergeCell ref="G19:H19"/>
    <mergeCell ref="G20:H20"/>
    <mergeCell ref="G21:H21"/>
    <mergeCell ref="G22:H22"/>
    <mergeCell ref="I19:J19"/>
    <mergeCell ref="I20:J20"/>
    <mergeCell ref="A2:B2"/>
    <mergeCell ref="D7:E7"/>
    <mergeCell ref="I1:J1"/>
    <mergeCell ref="I2:J2"/>
    <mergeCell ref="I15:J15"/>
    <mergeCell ref="A3:K3"/>
    <mergeCell ref="A1:B1"/>
    <mergeCell ref="B13:C13"/>
    <mergeCell ref="I13:J13"/>
    <mergeCell ref="A6:C6"/>
    <mergeCell ref="G6:H6"/>
    <mergeCell ref="D6:E6"/>
    <mergeCell ref="G15:H15"/>
    <mergeCell ref="G13:H13"/>
    <mergeCell ref="D1:E1"/>
    <mergeCell ref="D2:E2"/>
    <mergeCell ref="G43:H43"/>
    <mergeCell ref="I11:J11"/>
    <mergeCell ref="G36:H36"/>
    <mergeCell ref="G37:H37"/>
    <mergeCell ref="A23:E23"/>
    <mergeCell ref="A24:E24"/>
    <mergeCell ref="B15:C15"/>
    <mergeCell ref="G23:H23"/>
    <mergeCell ref="I25:J25"/>
    <mergeCell ref="I27:J27"/>
    <mergeCell ref="I21:J21"/>
    <mergeCell ref="I24:J24"/>
    <mergeCell ref="I22:J22"/>
    <mergeCell ref="I23:J23"/>
    <mergeCell ref="A34:E34"/>
    <mergeCell ref="A35:E35"/>
    <mergeCell ref="A36:E36"/>
    <mergeCell ref="A37:E37"/>
    <mergeCell ref="I34:J34"/>
    <mergeCell ref="I35:J35"/>
    <mergeCell ref="I36:J36"/>
    <mergeCell ref="I37:J37"/>
  </mergeCells>
  <dataValidations count="1">
    <dataValidation type="list" allowBlank="1" showInputMessage="1" showErrorMessage="1" sqref="B8" xr:uid="{00000000-0002-0000-0500-000000000000}">
      <formula1>$M$7:$M$8</formula1>
    </dataValidation>
  </dataValidations>
  <pageMargins left="0.5" right="0.5" top="0.5" bottom="0.5" header="0.3" footer="0.3"/>
  <pageSetup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M48"/>
  <sheetViews>
    <sheetView tabSelected="1" zoomScaleNormal="100" workbookViewId="0">
      <selection sqref="A1:B1"/>
    </sheetView>
  </sheetViews>
  <sheetFormatPr defaultRowHeight="12.5" x14ac:dyDescent="0.25"/>
  <cols>
    <col min="1" max="1" width="6.26953125" style="64" customWidth="1"/>
    <col min="2" max="2" width="12.1796875" customWidth="1"/>
    <col min="3" max="3" width="9.1796875" customWidth="1"/>
    <col min="4" max="4" width="12.26953125" customWidth="1"/>
    <col min="5" max="9" width="7.81640625" customWidth="1"/>
    <col min="10" max="11" width="11.453125" customWidth="1"/>
    <col min="12" max="12" width="12.453125" customWidth="1"/>
    <col min="13" max="13" width="9.1796875" hidden="1" customWidth="1"/>
    <col min="14" max="14" width="0" hidden="1" customWidth="1"/>
  </cols>
  <sheetData>
    <row r="1" spans="1:13" ht="39.75" customHeight="1" thickBot="1" x14ac:dyDescent="0.3">
      <c r="A1" s="387" t="str">
        <f>IF(AND(Eligibility!H1="",Eligibility!A1=""),"No Name Please Fill Out Eligibility Tab",IF(NOT(Eligibility!A1=""),Eligibility!A1,""))</f>
        <v>No Name Please Fill Out Eligibility Tab</v>
      </c>
      <c r="B1" s="388"/>
      <c r="C1" s="230"/>
      <c r="D1" s="388" t="str">
        <f>IF(AND(Eligibility!H1="",Eligibility!A1=""),"No Case # Please Fill Out Eligibility Tab",IF(NOT(Eligibility!H1=""),Eligibility!H1,""))</f>
        <v>No Case # Please Fill Out Eligibility Tab</v>
      </c>
      <c r="E1" s="468"/>
      <c r="F1" s="206"/>
      <c r="G1" s="387" t="str">
        <f>IF(Eligibility!O1="","Please Enter Agency Initials on Eligibility tab",Eligibility!O1)</f>
        <v>Please Enter Agency Initials on Eligibility tab</v>
      </c>
      <c r="H1" s="388" t="str">
        <f>IF(Eligibility!P1="","Please Enter Agency Initials on Eligibility tab",Eligibility!P1)</f>
        <v>Please Enter Agency Initials on Eligibility tab</v>
      </c>
      <c r="I1" s="114"/>
      <c r="J1" s="466">
        <f ca="1">TODAY()</f>
        <v>45692</v>
      </c>
      <c r="K1" s="467"/>
    </row>
    <row r="2" spans="1:13" ht="13" thickTop="1" x14ac:dyDescent="0.25">
      <c r="A2" s="501" t="s">
        <v>16</v>
      </c>
      <c r="B2" s="502"/>
      <c r="C2" s="230"/>
      <c r="D2" s="469" t="s">
        <v>17</v>
      </c>
      <c r="E2" s="470"/>
      <c r="F2" s="230"/>
      <c r="G2" s="471" t="s">
        <v>224</v>
      </c>
      <c r="H2" s="472"/>
      <c r="I2" s="114"/>
      <c r="J2" s="320" t="s">
        <v>18</v>
      </c>
      <c r="K2" s="377"/>
    </row>
    <row r="3" spans="1:13" ht="15.5" x14ac:dyDescent="0.35">
      <c r="A3" s="231"/>
      <c r="B3" s="230"/>
      <c r="C3" s="230"/>
      <c r="D3" s="232"/>
      <c r="E3" s="208" t="str">
        <f>IF(AND(A1=0,D1=0),"Please Enter Name or Case # on "&amp;C4&amp;" Tab ",IF(C8="N/A","Please Verify Data on "&amp;C4&amp;" Tab",""))</f>
        <v>Please Verify Data on Eligibility Tab</v>
      </c>
      <c r="F3" s="230"/>
      <c r="G3" s="232"/>
      <c r="H3" s="232"/>
      <c r="I3" s="114"/>
    </row>
    <row r="4" spans="1:13" x14ac:dyDescent="0.25">
      <c r="A4" s="497" t="s">
        <v>97</v>
      </c>
      <c r="B4" s="498"/>
      <c r="C4" s="233" t="s">
        <v>232</v>
      </c>
      <c r="D4" s="234" t="s">
        <v>98</v>
      </c>
      <c r="E4" s="235"/>
      <c r="F4" s="230"/>
      <c r="G4" s="232"/>
      <c r="H4" s="232"/>
      <c r="I4" s="114"/>
    </row>
    <row r="5" spans="1:13" ht="17.5" x14ac:dyDescent="0.35">
      <c r="A5" s="120" t="str">
        <f>IF(C9="Cat 1","Client has no Annual Cap, NO CHARGES NECESSARY",IF(AND(COUNTA(A12:A33)&lt;1,COUNT(A12:A33)&lt;1),"Please Choose Service",""))</f>
        <v>Please Choose Service</v>
      </c>
      <c r="B5" s="114"/>
      <c r="C5" s="114"/>
      <c r="D5" s="114"/>
      <c r="E5" s="114"/>
      <c r="F5" s="114"/>
      <c r="G5" s="114"/>
      <c r="H5" s="236" t="str">
        <f>IF(AND(LEFT(C4,1)="a",LEFT(Eligibility!M28,1)="I"),"Income Exceeded",IF(AND(LEFT(C4,1)="m",LEFT(EligReCert!M24)="I"),"Income Exceeded",""))</f>
        <v/>
      </c>
      <c r="I5" s="114"/>
      <c r="J5" s="1"/>
    </row>
    <row r="6" spans="1:13" ht="25.5" customHeight="1" thickBot="1" x14ac:dyDescent="0.3">
      <c r="A6" s="224"/>
      <c r="B6" s="475" t="s">
        <v>256</v>
      </c>
      <c r="C6" s="475"/>
      <c r="D6" s="476"/>
      <c r="E6" s="476"/>
      <c r="F6" s="476"/>
      <c r="G6" s="476"/>
      <c r="H6" s="476"/>
      <c r="I6" s="476"/>
      <c r="J6" s="476"/>
      <c r="K6" s="477"/>
    </row>
    <row r="7" spans="1:13" ht="13" thickTop="1" x14ac:dyDescent="0.25">
      <c r="A7" s="176"/>
      <c r="D7" s="499" t="s">
        <v>57</v>
      </c>
      <c r="E7" s="491">
        <f>Eligibility!B62</f>
        <v>0</v>
      </c>
      <c r="F7" s="491">
        <f>Eligibility!F62</f>
        <v>0.01</v>
      </c>
      <c r="G7" s="491">
        <f>Eligibility!I62</f>
        <v>0.02</v>
      </c>
      <c r="H7" s="491">
        <f>Eligibility!M62</f>
        <v>0.03</v>
      </c>
      <c r="I7" s="491">
        <f>Eligibility!P62</f>
        <v>0.05</v>
      </c>
      <c r="J7" s="100">
        <f>Eligibility!S62</f>
        <v>0.1</v>
      </c>
      <c r="K7" s="168">
        <v>1</v>
      </c>
      <c r="M7" s="71" t="s">
        <v>232</v>
      </c>
    </row>
    <row r="8" spans="1:13" ht="25" x14ac:dyDescent="0.25">
      <c r="A8" s="177"/>
      <c r="B8" s="66" t="s">
        <v>11</v>
      </c>
      <c r="C8" s="111" t="str">
        <f>IF(AND(LEFT(C4,5)="Eligi",Eligibility!I59&gt;=0),Eligibility!I59,"Choose Tab")</f>
        <v>N/A</v>
      </c>
      <c r="D8" s="500"/>
      <c r="E8" s="492"/>
      <c r="F8" s="492"/>
      <c r="G8" s="492"/>
      <c r="H8" s="492"/>
      <c r="I8" s="492"/>
      <c r="J8" s="101" t="s">
        <v>134</v>
      </c>
      <c r="K8" s="169" t="s">
        <v>135</v>
      </c>
      <c r="M8" s="71"/>
    </row>
    <row r="9" spans="1:13" ht="25" x14ac:dyDescent="0.25">
      <c r="A9" s="177"/>
      <c r="B9" s="66" t="s">
        <v>10</v>
      </c>
      <c r="C9" s="112" t="str">
        <f>IF(AND(LEFT(C4,5)="Eligi",Eligibility!I59&gt;=0),Eligibility!B59,"Choose Tab")</f>
        <v>N/A</v>
      </c>
      <c r="D9" s="66" t="s">
        <v>10</v>
      </c>
      <c r="E9" s="65">
        <v>1</v>
      </c>
      <c r="F9" s="65">
        <v>2</v>
      </c>
      <c r="G9" s="65">
        <v>3</v>
      </c>
      <c r="H9" s="65">
        <v>4</v>
      </c>
      <c r="I9" s="65">
        <v>5</v>
      </c>
      <c r="J9" s="65">
        <v>6</v>
      </c>
      <c r="K9" s="170"/>
    </row>
    <row r="10" spans="1:13" ht="28.5" customHeight="1" x14ac:dyDescent="0.25">
      <c r="A10" s="178"/>
      <c r="B10" s="69"/>
      <c r="C10" s="70"/>
      <c r="D10" s="147" t="s">
        <v>8</v>
      </c>
      <c r="E10" s="228" t="s">
        <v>78</v>
      </c>
      <c r="F10" s="228" t="s">
        <v>204</v>
      </c>
      <c r="G10" s="228" t="s">
        <v>205</v>
      </c>
      <c r="H10" s="228" t="s">
        <v>79</v>
      </c>
      <c r="I10" s="228" t="s">
        <v>80</v>
      </c>
      <c r="J10" s="228" t="s">
        <v>81</v>
      </c>
      <c r="K10" s="171" t="s">
        <v>131</v>
      </c>
    </row>
    <row r="11" spans="1:13" ht="27" customHeight="1" thickBot="1" x14ac:dyDescent="0.3">
      <c r="A11" s="179" t="s">
        <v>82</v>
      </c>
      <c r="B11" s="485" t="s">
        <v>58</v>
      </c>
      <c r="C11" s="486"/>
      <c r="D11" s="102" t="s">
        <v>119</v>
      </c>
      <c r="E11" s="68"/>
      <c r="F11" s="68"/>
      <c r="G11" s="68"/>
      <c r="H11" s="68"/>
      <c r="I11" s="68"/>
      <c r="J11" s="68"/>
      <c r="K11" s="172"/>
    </row>
    <row r="12" spans="1:13" ht="15" customHeight="1" thickBot="1" x14ac:dyDescent="0.3">
      <c r="A12" s="180"/>
      <c r="B12" s="487" t="s">
        <v>59</v>
      </c>
      <c r="C12" s="488"/>
      <c r="D12" s="249">
        <v>150</v>
      </c>
      <c r="E12" s="113" t="str">
        <f>IF($A12="","",IF(LEFT(C$8,1)="C","",IF(OR(AND(RIGHT(Eligibility!$M$28,1)="Y",LEFT($C$4,1)="A",$C$9="Cat 1"),AND(RIGHT(EligReCert!$M$24,1)="Y",LEFT($C$4,1)="M",$C$9="Cat 1")),"Not Eligible*",IF($C$9="Cat 1",ROUND($D12*E$7,0),""))))</f>
        <v/>
      </c>
      <c r="F12" s="113" t="str">
        <f>IF($A12="","",IF(LEFT(D$8,1)="C","",IF(OR(AND(RIGHT(Eligibility!$M$28,1)="Y",LEFT($C$4,1)="A",$C$9="Cat 2"),AND(RIGHT(EligReCert!$M$24,1)="Y",LEFT($C$4,1)="M",$C$9="Cat 2")),"Not Eligible*",IF($C$9="Cat 2",ROUND($D12*F$7,0),""))))</f>
        <v/>
      </c>
      <c r="G12" s="113" t="str">
        <f>IF($A12="","",IF(LEFT(E$8,1)="C","",IF(OR(AND(RIGHT(Eligibility!$M$28,1)="Y",LEFT($C$4,1)="A",$C$9="Cat 3"),AND(RIGHT(EligReCert!$M$24,1)="Y",LEFT($C$4,1)="M",$C$9="Cat 3")),"Not Eligible*",IF($C$9="Cat 3",ROUND($D12*G$7,0),""))))</f>
        <v/>
      </c>
      <c r="H12" s="113" t="str">
        <f>IF($A12="","",IF(LEFT(F$8,1)="C","",IF(OR(AND(RIGHT(Eligibility!$M$28,1)="Y",LEFT($C$4,1)="A",$C$9="Cat 4"),AND(RIGHT(EligReCert!$M$24,1)="Y",LEFT($C$4,1)="M",$C$9="Cat 4")),"Not Eligible*",IF($C$9="Cat 4",ROUND($D12*H$7,0),""))))</f>
        <v/>
      </c>
      <c r="I12" s="113" t="str">
        <f>IF($A12="","",IF(LEFT(G$8,1)="C","",IF(OR(AND(RIGHT(Eligibility!$M$28,1)="Y",LEFT($C$4,1)="A",$C$9="Cat 5"),AND(RIGHT(EligReCert!$M$24,1)="Y",LEFT($C$4,1)="M",$C$9="Cat 5")),"Not Eligible*",IF($C$9="Cat 5",ROUND($D12*I$7,0),""))))</f>
        <v/>
      </c>
      <c r="J12" s="113" t="str">
        <f t="shared" ref="J12:J17" si="0">IF($A12="","",IF(LEFT(C$8,1)="C","",IF($C$9="Cat 6","Not Eligible*","")))</f>
        <v/>
      </c>
      <c r="K12" s="173" t="str">
        <f t="shared" ref="K12:K19" si="1">IF($A12="","",IF(LEFT(C$8,1)="C","",IF($C$9="N/A","Not Eligible*","")))</f>
        <v/>
      </c>
    </row>
    <row r="13" spans="1:13" ht="15" customHeight="1" thickBot="1" x14ac:dyDescent="0.3">
      <c r="A13" s="180"/>
      <c r="B13" s="503" t="s">
        <v>60</v>
      </c>
      <c r="C13" s="192" t="s">
        <v>61</v>
      </c>
      <c r="D13" s="249">
        <v>66</v>
      </c>
      <c r="E13" s="113" t="str">
        <f>IF($A13="","",IF(LEFT(C$8,1)="C","",IF(OR(AND(RIGHT(Eligibility!$M$28,1)="Y",LEFT($C$4,1)="A",$C$9="Cat 1"),AND(RIGHT(EligReCert!$M$24,1)="Y",LEFT($C$4,1)="M",$C$9="Cat 1")),"Not Eligible*",IF($C$9="Cat 1",ROUND($D13*E$7,0),""))))</f>
        <v/>
      </c>
      <c r="F13" s="113" t="str">
        <f>IF($A13="","",IF(LEFT(D$8,1)="C","",IF(OR(AND(RIGHT(Eligibility!$M$28,1)="Y",LEFT($C$4,1)="A",$C$9="Cat 2"),AND(RIGHT(EligReCert!$M$24,1)="Y",LEFT($C$4,1)="M",$C$9="Cat 2")),"Not Eligible*",IF($C$9="Cat 2",ROUND($D13*F$7,0),""))))</f>
        <v/>
      </c>
      <c r="G13" s="113" t="str">
        <f>IF($A13="","",IF(LEFT(E$8,1)="C","",IF(OR(AND(RIGHT(Eligibility!$M$28,1)="Y",LEFT($C$4,1)="A",$C$9="Cat 3"),AND(RIGHT(EligReCert!$M$24,1)="Y",LEFT($C$4,1)="M",$C$9="Cat 3")),"Not Eligible*",IF($C$9="Cat 3",ROUND($D13*G$7,0),""))))</f>
        <v/>
      </c>
      <c r="H13" s="113" t="str">
        <f>IF($A13="","",IF(LEFT(F$8,1)="C","",IF(OR(AND(RIGHT(Eligibility!$M$28,1)="Y",LEFT($C$4,1)="A",$C$9="Cat 4"),AND(RIGHT(EligReCert!$M$24,1)="Y",LEFT($C$4,1)="M",$C$9="Cat 4")),"Not Eligible*",IF($C$9="Cat 4",ROUND($D13*H$7,0),""))))</f>
        <v/>
      </c>
      <c r="I13" s="113" t="str">
        <f>IF($A13="","",IF(LEFT(G$8,1)="C","",IF(OR(AND(RIGHT(Eligibility!$M$28,1)="Y",LEFT($C$4,1)="A",$C$9="Cat 5"),AND(RIGHT(EligReCert!$M$24,1)="Y",LEFT($C$4,1)="M",$C$9="Cat 5")),"Not Eligible*",IF($C$9="Cat 5",ROUND($D13*I$7,0),""))))</f>
        <v/>
      </c>
      <c r="J13" s="113" t="str">
        <f t="shared" ref="J13" si="2">IF($A13="","",IF(LEFT(C$8,1)="C","",IF($C$9="Cat 6","Not Eligible*","")))</f>
        <v/>
      </c>
      <c r="K13" s="173" t="str">
        <f t="shared" ref="K13" si="3">IF($A13="","",IF(LEFT(C$8,1)="C","",IF($C$9="N/A","Not Eligible*","")))</f>
        <v/>
      </c>
    </row>
    <row r="14" spans="1:13" ht="15.75" customHeight="1" thickBot="1" x14ac:dyDescent="0.3">
      <c r="A14" s="180"/>
      <c r="B14" s="504"/>
      <c r="C14" s="191" t="s">
        <v>62</v>
      </c>
      <c r="D14" s="249">
        <v>34</v>
      </c>
      <c r="E14" s="113" t="str">
        <f>IF($A14="","",IF(LEFT(C$8,1)="C","",IF(OR(AND(RIGHT(Eligibility!$M$28,1)="Y",LEFT($C$4,1)="A",$C$9="Cat 1"),AND(RIGHT(EligReCert!$M$24,1)="Y",LEFT($C$4,1)="M",$C$9="Cat 1")),"Not Eligible*",IF($C$9="Cat 1",ROUND($D14*E$7,0),""))))</f>
        <v/>
      </c>
      <c r="F14" s="113" t="str">
        <f>IF($A14="","",IF(LEFT(D$8,1)="C","",IF(OR(AND(RIGHT(Eligibility!$M$28,1)="Y",LEFT($C$4,1)="A",$C$9="Cat 2"),AND(RIGHT(EligReCert!$M$24,1)="Y",LEFT($C$4,1)="M",$C$9="Cat 2")),"Not Eligible*",IF($C$9="Cat 2",ROUND($D14*F$7,0),""))))</f>
        <v/>
      </c>
      <c r="G14" s="113" t="str">
        <f>IF($A14="","",IF(LEFT(E$8,1)="C","",IF(OR(AND(RIGHT(Eligibility!$M$28,1)="Y",LEFT($C$4,1)="A",$C$9="Cat 3"),AND(RIGHT(EligReCert!$M$24,1)="Y",LEFT($C$4,1)="M",$C$9="Cat 3")),"Not Eligible*",IF($C$9="Cat 3",ROUND($D14*G$7,0),""))))</f>
        <v/>
      </c>
      <c r="H14" s="113" t="str">
        <f>IF($A14="","",IF(LEFT(F$8,1)="C","",IF(OR(AND(RIGHT(Eligibility!$M$28,1)="Y",LEFT($C$4,1)="A",$C$9="Cat 4"),AND(RIGHT(EligReCert!$M$24,1)="Y",LEFT($C$4,1)="M",$C$9="Cat 4")),"Not Eligible*",IF($C$9="Cat 4",ROUND($D14*H$7,0),""))))</f>
        <v/>
      </c>
      <c r="I14" s="113" t="str">
        <f>IF($A14="","",IF(LEFT(G$8,1)="C","",IF(OR(AND(RIGHT(Eligibility!$M$28,1)="Y",LEFT($C$4,1)="A",$C$9="Cat 5"),AND(RIGHT(EligReCert!$M$24,1)="Y",LEFT($C$4,1)="M",$C$9="Cat 5")),"Not Eligible*",IF($C$9="Cat 5",ROUND($D14*I$7,0),""))))</f>
        <v/>
      </c>
      <c r="J14" s="113" t="str">
        <f t="shared" si="0"/>
        <v/>
      </c>
      <c r="K14" s="173" t="str">
        <f t="shared" si="1"/>
        <v/>
      </c>
    </row>
    <row r="15" spans="1:13" ht="19.5" customHeight="1" thickBot="1" x14ac:dyDescent="0.3">
      <c r="A15" s="180"/>
      <c r="B15" s="483" t="s">
        <v>77</v>
      </c>
      <c r="C15" s="192" t="s">
        <v>61</v>
      </c>
      <c r="D15" s="249">
        <v>79</v>
      </c>
      <c r="E15" s="113" t="str">
        <f>IF($A15="","",IF(LEFT(C$8,1)="C","",IF(OR(AND(RIGHT(Eligibility!$M$28,1)="Y",LEFT($C$4,1)="A",$C$9="Cat 1"),AND(RIGHT(EligReCert!$M$24,1)="Y",LEFT($C$4,1)="M",$C$9="Cat 1")),"Not Eligible*",IF($C$9="Cat 1",ROUND($D15*E$7,0),""))))</f>
        <v/>
      </c>
      <c r="F15" s="113" t="str">
        <f>IF($A15="","",IF(LEFT(D$8,1)="C","",IF(OR(AND(RIGHT(Eligibility!$M$28,1)="Y",LEFT($C$4,1)="A",$C$9="Cat 2"),AND(RIGHT(EligReCert!$M$24,1)="Y",LEFT($C$4,1)="M",$C$9="Cat 2")),"Not Eligible*",IF($C$9="Cat 2",ROUND($D15*F$7,0),""))))</f>
        <v/>
      </c>
      <c r="G15" s="113" t="str">
        <f>IF($A15="","",IF(LEFT(E$8,1)="C","",IF(OR(AND(RIGHT(Eligibility!$M$28,1)="Y",LEFT($C$4,1)="A",$C$9="Cat 3"),AND(RIGHT(EligReCert!$M$24,1)="Y",LEFT($C$4,1)="M",$C$9="Cat 3")),"Not Eligible*",IF($C$9="Cat 3",ROUND($D15*G$7,0),""))))</f>
        <v/>
      </c>
      <c r="H15" s="113" t="str">
        <f>IF($A15="","",IF(LEFT(F$8,1)="C","",IF(OR(AND(RIGHT(Eligibility!$M$28,1)="Y",LEFT($C$4,1)="A",$C$9="Cat 4"),AND(RIGHT(EligReCert!$M$24,1)="Y",LEFT($C$4,1)="M",$C$9="Cat 4")),"Not Eligible*",IF($C$9="Cat 4",ROUND($D15*H$7,0),""))))</f>
        <v/>
      </c>
      <c r="I15" s="113" t="str">
        <f>IF($A15="","",IF(LEFT(G$8,1)="C","",IF(OR(AND(RIGHT(Eligibility!$M$28,1)="Y",LEFT($C$4,1)="A",$C$9="Cat 5"),AND(RIGHT(EligReCert!$M$24,1)="Y",LEFT($C$4,1)="M",$C$9="Cat 5")),"Not Eligible*",IF($C$9="Cat 5",ROUND($D15*I$7,0),""))))</f>
        <v/>
      </c>
      <c r="J15" s="113" t="str">
        <f t="shared" si="0"/>
        <v/>
      </c>
      <c r="K15" s="173" t="str">
        <f t="shared" si="1"/>
        <v/>
      </c>
    </row>
    <row r="16" spans="1:13" ht="19.5" customHeight="1" thickBot="1" x14ac:dyDescent="0.3">
      <c r="A16" s="180"/>
      <c r="B16" s="484"/>
      <c r="C16" s="191" t="s">
        <v>62</v>
      </c>
      <c r="D16" s="250">
        <v>26</v>
      </c>
      <c r="E16" s="113" t="str">
        <f>IF($A16="","",IF(LEFT(C$8,1)="C","",IF(OR(AND(RIGHT(Eligibility!$M$28,1)="Y",LEFT($C$4,1)="A",$C$9="Cat 1"),AND(RIGHT(EligReCert!$M$24,1)="Y",LEFT($C$4,1)="M",$C$9="Cat 1")),"Not Eligible*",IF($C$9="Cat 1",ROUND($D16*E$7,0),""))))</f>
        <v/>
      </c>
      <c r="F16" s="113" t="str">
        <f>IF($A16="","",IF(LEFT(D$8,1)="C","",IF(OR(AND(RIGHT(Eligibility!$M$28,1)="Y",LEFT($C$4,1)="A",$C$9="Cat 2"),AND(RIGHT(EligReCert!$M$24,1)="Y",LEFT($C$4,1)="M",$C$9="Cat 2")),"Not Eligible*",IF($C$9="Cat 2",ROUND($D16*F$7,0),""))))</f>
        <v/>
      </c>
      <c r="G16" s="113" t="str">
        <f>IF($A16="","",IF(LEFT(E$8,1)="C","",IF(OR(AND(RIGHT(Eligibility!$M$28,1)="Y",LEFT($C$4,1)="A",$C$9="Cat 3"),AND(RIGHT(EligReCert!$M$24,1)="Y",LEFT($C$4,1)="M",$C$9="Cat 3")),"Not Eligible*",IF($C$9="Cat 3",ROUND($D16*G$7,0),""))))</f>
        <v/>
      </c>
      <c r="H16" s="113" t="str">
        <f>IF($A16="","",IF(LEFT(F$8,1)="C","",IF(OR(AND(RIGHT(Eligibility!$M$28,1)="Y",LEFT($C$4,1)="A",$C$9="Cat 4"),AND(RIGHT(EligReCert!$M$24,1)="Y",LEFT($C$4,1)="M",$C$9="Cat 4")),"Not Eligible*",IF($C$9="Cat 4",ROUND($D16*H$7,0),""))))</f>
        <v/>
      </c>
      <c r="I16" s="113" t="str">
        <f>IF($A16="","",IF(LEFT(G$8,1)="C","",IF(OR(AND(RIGHT(Eligibility!$M$28,1)="Y",LEFT($C$4,1)="A",$C$9="Cat 5"),AND(RIGHT(EligReCert!$M$24,1)="Y",LEFT($C$4,1)="M",$C$9="Cat 5")),"Not Eligible*",IF($C$9="Cat 5",ROUND($D16*I$7,0),""))))</f>
        <v/>
      </c>
      <c r="J16" s="113" t="str">
        <f t="shared" si="0"/>
        <v/>
      </c>
      <c r="K16" s="173" t="str">
        <f t="shared" si="1"/>
        <v/>
      </c>
    </row>
    <row r="17" spans="1:11" ht="13" thickBot="1" x14ac:dyDescent="0.3">
      <c r="A17" s="180"/>
      <c r="B17" s="487" t="s">
        <v>63</v>
      </c>
      <c r="C17" s="488"/>
      <c r="D17" s="249">
        <v>145</v>
      </c>
      <c r="E17" s="113" t="str">
        <f>IF($A17="","",IF(LEFT(C$8,1)="C","",IF(OR(AND(RIGHT(Eligibility!$M$28,1)="Y",LEFT($C$4,1)="A",$C$9="Cat 1"),AND(RIGHT(EligReCert!$M$24,1)="Y",LEFT($C$4,1)="M",$C$9="Cat 1")),"Not Eligible*",IF($C$9="Cat 1",ROUND($D17*E$7,0),""))))</f>
        <v/>
      </c>
      <c r="F17" s="113" t="str">
        <f>IF($A17="","",IF(LEFT(D$8,1)="C","",IF(OR(AND(RIGHT(Eligibility!$M$28,1)="Y",LEFT($C$4,1)="A",$C$9="Cat 2"),AND(RIGHT(EligReCert!$M$24,1)="Y",LEFT($C$4,1)="M",$C$9="Cat 2")),"Not Eligible*",IF($C$9="Cat 2",ROUND($D17*F$7,0),""))))</f>
        <v/>
      </c>
      <c r="G17" s="113" t="str">
        <f>IF($A17="","",IF(LEFT(E$8,1)="C","",IF(OR(AND(RIGHT(Eligibility!$M$28,1)="Y",LEFT($C$4,1)="A",$C$9="Cat 3"),AND(RIGHT(EligReCert!$M$24,1)="Y",LEFT($C$4,1)="M",$C$9="Cat 3")),"Not Eligible*",IF($C$9="Cat 3",ROUND($D17*G$7,0),""))))</f>
        <v/>
      </c>
      <c r="H17" s="113" t="str">
        <f>IF($A17="","",IF(LEFT(F$8,1)="C","",IF(OR(AND(RIGHT(Eligibility!$M$28,1)="Y",LEFT($C$4,1)="A",$C$9="Cat 4"),AND(RIGHT(EligReCert!$M$24,1)="Y",LEFT($C$4,1)="M",$C$9="Cat 4")),"Not Eligible*",IF($C$9="Cat 4",ROUND($D17*H$7,0),""))))</f>
        <v/>
      </c>
      <c r="I17" s="113" t="str">
        <f>IF($A17="","",IF(LEFT(G$8,1)="C","",IF(OR(AND(RIGHT(Eligibility!$M$28,1)="Y",LEFT($C$4,1)="A",$C$9="Cat 5"),AND(RIGHT(EligReCert!$M$24,1)="Y",LEFT($C$4,1)="M",$C$9="Cat 5")),"Not Eligible*",IF($C$9="Cat 5",ROUND($D17*I$7,0),""))))</f>
        <v/>
      </c>
      <c r="J17" s="113" t="str">
        <f t="shared" si="0"/>
        <v/>
      </c>
      <c r="K17" s="173" t="str">
        <f t="shared" si="1"/>
        <v/>
      </c>
    </row>
    <row r="18" spans="1:11" ht="26.25" customHeight="1" thickBot="1" x14ac:dyDescent="0.3">
      <c r="A18" s="180"/>
      <c r="B18" s="478" t="s">
        <v>64</v>
      </c>
      <c r="C18" s="482"/>
      <c r="D18" s="249">
        <v>0</v>
      </c>
      <c r="E18" s="113" t="str">
        <f>IF($A18="","",IF(LEFT(C$8,1)="C","",IF(OR(AND(RIGHT(Eligibility!$M$28,1)="Y",LEFT($C$4,1)="A",$C$9="Cat 1"),AND(RIGHT(EligReCert!$M$24,1)="Y",LEFT($C$4,1)="M",$C$9="Cat 1")),"Not Eligible*",IF($C$9="Cat 1",ROUND($D18*E$7,0),""))))</f>
        <v/>
      </c>
      <c r="F18" s="113" t="str">
        <f>IF($A18="","",IF(LEFT(D$8,1)="C","",IF(OR(AND(RIGHT(Eligibility!$M$28,1)="Y",LEFT($C$4,1)="A",$C$9="Cat 2"),AND(RIGHT(EligReCert!$M$24,1)="Y",LEFT($C$4,1)="M",$C$9="Cat 2")),"Not Eligible*",IF($C$9="Cat 2",ROUND($D18*F$7,0),""))))</f>
        <v/>
      </c>
      <c r="G18" s="113" t="str">
        <f>IF($A18="","",IF(LEFT(E$8,1)="C","",IF(OR(AND(RIGHT(Eligibility!$M$28,1)="Y",LEFT($C$4,1)="A",$C$9="Cat 3"),AND(RIGHT(EligReCert!$M$24,1)="Y",LEFT($C$4,1)="M",$C$9="Cat 3")),"Not Eligible*",IF($C$9="Cat 3",ROUND($D18*G$7,0),""))))</f>
        <v/>
      </c>
      <c r="H18" s="113" t="str">
        <f>IF($A18="","",IF(LEFT(F$8,1)="C","",IF(OR(AND(RIGHT(Eligibility!$M$28,1)="Y",LEFT($C$4,1)="A",$C$9="Cat 4"),AND(RIGHT(EligReCert!$M$24,1)="Y",LEFT($C$4,1)="M",$C$9="Cat 4")),"Not Eligible*",IF($C$9="Cat 4",ROUND($D18*H$7,0),""))))</f>
        <v/>
      </c>
      <c r="I18" s="113" t="str">
        <f>IF($A18="","",IF(LEFT(G$8,1)="C","",IF(OR(AND(RIGHT(Eligibility!$M$28,1)="Y",LEFT($C$4,1)="A",$C$9="Cat 5"),AND(RIGHT(EligReCert!$M$24,1)="Y",LEFT($C$4,1)="M",$C$9="Cat 5")),"Not Eligible*",IF($C$9="Cat 5",ROUND($D18*I$7,0),""))))</f>
        <v/>
      </c>
      <c r="J18" s="113" t="str">
        <f>IF($A18="","",IF(LEFT(C$8,1)="C","",IF($C$9="Cat 6",ROUND($D18*J$7,0),"")))</f>
        <v/>
      </c>
      <c r="K18" s="173" t="str">
        <f>IF($A18="","",IF(LEFT(C$8,1)="C","",IF($C$9="N/A",ROUND($D18*K$7,0),"")))</f>
        <v/>
      </c>
    </row>
    <row r="19" spans="1:11" ht="27" customHeight="1" thickBot="1" x14ac:dyDescent="0.3">
      <c r="A19" s="180"/>
      <c r="B19" s="478" t="s">
        <v>65</v>
      </c>
      <c r="C19" s="482"/>
      <c r="D19" s="249">
        <v>60</v>
      </c>
      <c r="E19" s="113" t="str">
        <f>IF($A19="","",IF(LEFT(C$8,1)="C","",IF(OR(AND(RIGHT(Eligibility!$M$28,1)="Y",LEFT($C$4,1)="A",$C$9="Cat 1"),AND(RIGHT(EligReCert!$M$24,1)="Y",LEFT($C$4,1)="M",$C$9="Cat 1")),"Not Eligible*",IF($C$9="Cat 1",ROUND($D19*E$7,0),""))))</f>
        <v/>
      </c>
      <c r="F19" s="113" t="str">
        <f>IF($A19="","",IF(LEFT(D$8,1)="C","",IF(OR(AND(RIGHT(Eligibility!$M$28,1)="Y",LEFT($C$4,1)="A",$C$9="Cat 2"),AND(RIGHT(EligReCert!$M$24,1)="Y",LEFT($C$4,1)="M",$C$9="Cat 2")),"Not Eligible*",IF($C$9="Cat 2",ROUND($D19*F$7,0),""))))</f>
        <v/>
      </c>
      <c r="G19" s="113" t="str">
        <f>IF($A19="","",IF(LEFT(E$8,1)="C","",IF(OR(AND(RIGHT(Eligibility!$M$28,1)="Y",LEFT($C$4,1)="A",$C$9="Cat 3"),AND(RIGHT(EligReCert!$M$24,1)="Y",LEFT($C$4,1)="M",$C$9="Cat 3")),"Not Eligible*",IF($C$9="Cat 3",ROUND($D19*G$7,0),""))))</f>
        <v/>
      </c>
      <c r="H19" s="113" t="str">
        <f>IF($A19="","",IF(LEFT(F$8,1)="C","",IF(OR(AND(RIGHT(Eligibility!$M$28,1)="Y",LEFT($C$4,1)="A",$C$9="Cat 4"),AND(RIGHT(EligReCert!$M$24,1)="Y",LEFT($C$4,1)="M",$C$9="Cat 4")),"Not Eligible*",IF($C$9="Cat 4",ROUND($D19*H$7,0),""))))</f>
        <v/>
      </c>
      <c r="I19" s="113" t="str">
        <f>IF($A19="","",IF(LEFT(G$8,1)="C","",IF(OR(AND(RIGHT(Eligibility!$M$28,1)="Y",LEFT($C$4,1)="A",$C$9="Cat 5"),AND(RIGHT(EligReCert!$M$24,1)="Y",LEFT($C$4,1)="M",$C$9="Cat 5")),"Not Eligible*",IF($C$9="Cat 5",ROUND($D19*I$7,0),""))))</f>
        <v/>
      </c>
      <c r="J19" s="113" t="str">
        <f t="shared" ref="J19:J33" si="4">IF($A19="","",IF(LEFT(C$8,1)="C","",IF($C$9="Cat 6","Not Eligible*","")))</f>
        <v/>
      </c>
      <c r="K19" s="173" t="str">
        <f t="shared" si="1"/>
        <v/>
      </c>
    </row>
    <row r="20" spans="1:11" ht="13" thickBot="1" x14ac:dyDescent="0.3">
      <c r="A20" s="180"/>
      <c r="B20" s="478" t="s">
        <v>66</v>
      </c>
      <c r="C20" s="482"/>
      <c r="D20" s="249">
        <v>0</v>
      </c>
      <c r="E20" s="113" t="str">
        <f>IF($A20="","",IF(LEFT(C$8,1)="C","",IF(OR(AND(RIGHT(Eligibility!$M$28,1)="Y",LEFT($C$4,1)="A",$C$9="Cat 1"),AND(RIGHT(EligReCert!$M$24,1)="Y",LEFT($C$4,1)="M",$C$9="Cat 1")),"Not Eligible*",IF($C$9="Cat 1",ROUND($D20*E$7,0),""))))</f>
        <v/>
      </c>
      <c r="F20" s="113" t="str">
        <f>IF($A20="","",IF(LEFT(D$8,1)="C","",IF(OR(AND(RIGHT(Eligibility!$M$28,1)="Y",LEFT($C$4,1)="A",$C$9="Cat 2"),AND(RIGHT(EligReCert!$M$24,1)="Y",LEFT($C$4,1)="M",$C$9="Cat 2")),"Not Eligible*",IF($C$9="Cat 2",ROUND($D20*F$7,0),""))))</f>
        <v/>
      </c>
      <c r="G20" s="113" t="str">
        <f>IF($A20="","",IF(LEFT(E$8,1)="C","",IF(OR(AND(RIGHT(Eligibility!$M$28,1)="Y",LEFT($C$4,1)="A",$C$9="Cat 3"),AND(RIGHT(EligReCert!$M$24,1)="Y",LEFT($C$4,1)="M",$C$9="Cat 3")),"Not Eligible*",IF($C$9="Cat 3",ROUND($D20*G$7,0),""))))</f>
        <v/>
      </c>
      <c r="H20" s="113" t="str">
        <f>IF($A20="","",IF(LEFT(F$8,1)="C","",IF(OR(AND(RIGHT(Eligibility!$M$28,1)="Y",LEFT($C$4,1)="A",$C$9="Cat 4"),AND(RIGHT(EligReCert!$M$24,1)="Y",LEFT($C$4,1)="M",$C$9="Cat 4")),"Not Eligible*",IF($C$9="Cat 4",ROUND($D20*H$7,0),""))))</f>
        <v/>
      </c>
      <c r="I20" s="113" t="str">
        <f>IF($A20="","",IF(LEFT(G$8,1)="C","",IF(OR(AND(RIGHT(Eligibility!$M$28,1)="Y",LEFT($C$4,1)="A",$C$9="Cat 5"),AND(RIGHT(EligReCert!$M$24,1)="Y",LEFT($C$4,1)="M",$C$9="Cat 5")),"Not Eligible*",IF($C$9="Cat 5",ROUND($D20*I$7,0),""))))</f>
        <v/>
      </c>
      <c r="J20" s="113" t="str">
        <f t="shared" si="4"/>
        <v/>
      </c>
      <c r="K20" s="173" t="str">
        <f t="shared" ref="K20:K33" si="5">IF($A20="","",IF(LEFT(C$8,1)="C","",IF($C$9="N/A","Not Eligible*","")))</f>
        <v/>
      </c>
    </row>
    <row r="21" spans="1:11" ht="13" thickBot="1" x14ac:dyDescent="0.3">
      <c r="A21" s="180"/>
      <c r="B21" s="478" t="s">
        <v>67</v>
      </c>
      <c r="C21" s="482"/>
      <c r="D21" s="251">
        <v>0</v>
      </c>
      <c r="E21" s="113" t="str">
        <f>IF($A21="","",IF(LEFT(C$8,1)="C","",IF(OR(AND(RIGHT(Eligibility!$M$28,1)="Y",LEFT($C$4,1)="A",$C$9="Cat 1"),AND(RIGHT(EligReCert!$M$24,1)="Y",LEFT($C$4,1)="M",$C$9="Cat 1")),"Not Eligible*",IF($C$9="Cat 1",ROUND($D21*E$7,0),""))))</f>
        <v/>
      </c>
      <c r="F21" s="113" t="str">
        <f>IF($A21="","",IF(LEFT(D$8,1)="C","",IF(OR(AND(RIGHT(Eligibility!$M$28,1)="Y",LEFT($C$4,1)="A",$C$9="Cat 2"),AND(RIGHT(EligReCert!$M$24,1)="Y",LEFT($C$4,1)="M",$C$9="Cat 2")),"Not Eligible*",IF($C$9="Cat 2",ROUND($D21*F$7,0),""))))</f>
        <v/>
      </c>
      <c r="G21" s="113" t="str">
        <f>IF($A21="","",IF(LEFT(E$8,1)="C","",IF(OR(AND(RIGHT(Eligibility!$M$28,1)="Y",LEFT($C$4,1)="A",$C$9="Cat 3"),AND(RIGHT(EligReCert!$M$24,1)="Y",LEFT($C$4,1)="M",$C$9="Cat 3")),"Not Eligible*",IF($C$9="Cat 3",ROUND($D21*G$7,0),""))))</f>
        <v/>
      </c>
      <c r="H21" s="113" t="str">
        <f>IF($A21="","",IF(LEFT(F$8,1)="C","",IF(OR(AND(RIGHT(Eligibility!$M$28,1)="Y",LEFT($C$4,1)="A",$C$9="Cat 4"),AND(RIGHT(EligReCert!$M$24,1)="Y",LEFT($C$4,1)="M",$C$9="Cat 4")),"Not Eligible*",IF($C$9="Cat 4",ROUND($D21*H$7,0),""))))</f>
        <v/>
      </c>
      <c r="I21" s="113" t="str">
        <f>IF($A21="","",IF(LEFT(G$8,1)="C","",IF(OR(AND(RIGHT(Eligibility!$M$28,1)="Y",LEFT($C$4,1)="A",$C$9="Cat 5"),AND(RIGHT(EligReCert!$M$24,1)="Y",LEFT($C$4,1)="M",$C$9="Cat 5")),"Not Eligible*",IF($C$9="Cat 5",ROUND($D21*I$7,0),""))))</f>
        <v/>
      </c>
      <c r="J21" s="113" t="str">
        <f t="shared" si="4"/>
        <v/>
      </c>
      <c r="K21" s="173" t="str">
        <f t="shared" si="5"/>
        <v/>
      </c>
    </row>
    <row r="22" spans="1:11" ht="24.75" customHeight="1" thickBot="1" x14ac:dyDescent="0.3">
      <c r="A22" s="180"/>
      <c r="B22" s="478" t="s">
        <v>303</v>
      </c>
      <c r="C22" s="479"/>
      <c r="D22" s="249">
        <v>0</v>
      </c>
      <c r="E22" s="113" t="str">
        <f>IF($A22="","",IF(LEFT(C$8,1)="C","",IF(OR(AND(RIGHT(Eligibility!$M$28,1)="Y",LEFT($C$4,1)="A",$C$9="Cat 1"),AND(RIGHT(EligReCert!$M$24,1)="Y",LEFT($C$4,1)="M",$C$9="Cat 1")),"Not Eligible*",IF($C$9="Cat 1",ROUND($D22*E$7,0),""))))</f>
        <v/>
      </c>
      <c r="F22" s="113" t="str">
        <f>IF($A22="","",IF(LEFT(D$8,1)="C","",IF(OR(AND(RIGHT(Eligibility!$M$28,1)="Y",LEFT($C$4,1)="A",$C$9="Cat 2"),AND(RIGHT(EligReCert!$M$24,1)="Y",LEFT($C$4,1)="M",$C$9="Cat 2")),"Not Eligible*",IF($C$9="Cat 2",ROUND($D22*F$7,0),""))))</f>
        <v/>
      </c>
      <c r="G22" s="113" t="str">
        <f>IF($A22="","",IF(LEFT(E$8,1)="C","",IF(OR(AND(RIGHT(Eligibility!$M$28,1)="Y",LEFT($C$4,1)="A",$C$9="Cat 3"),AND(RIGHT(EligReCert!$M$24,1)="Y",LEFT($C$4,1)="M",$C$9="Cat 3")),"Not Eligible*",IF($C$9="Cat 3",ROUND($D22*G$7,0),""))))</f>
        <v/>
      </c>
      <c r="H22" s="113" t="str">
        <f>IF($A22="","",IF(LEFT(F$8,1)="C","",IF(OR(AND(RIGHT(Eligibility!$M$28,1)="Y",LEFT($C$4,1)="A",$C$9="Cat 4"),AND(RIGHT(EligReCert!$M$24,1)="Y",LEFT($C$4,1)="M",$C$9="Cat 4")),"Not Eligible*",IF($C$9="Cat 4",ROUND($D22*H$7,0),""))))</f>
        <v/>
      </c>
      <c r="I22" s="113" t="str">
        <f>IF($A22="","",IF(LEFT(G$8,1)="C","",IF(OR(AND(RIGHT(Eligibility!$M$28,1)="Y",LEFT($C$4,1)="A",$C$9="Cat 5"),AND(RIGHT(EligReCert!$M$24,1)="Y",LEFT($C$4,1)="M",$C$9="Cat 5")),"Not Eligible*",IF($C$9="Cat 5",ROUND($D22*I$7,0),""))))</f>
        <v/>
      </c>
      <c r="J22" s="113" t="str">
        <f t="shared" si="4"/>
        <v/>
      </c>
      <c r="K22" s="173" t="str">
        <f t="shared" si="5"/>
        <v/>
      </c>
    </row>
    <row r="23" spans="1:11" ht="24.75" customHeight="1" thickBot="1" x14ac:dyDescent="0.3">
      <c r="A23" s="180"/>
      <c r="B23" s="478" t="s">
        <v>69</v>
      </c>
      <c r="C23" s="479"/>
      <c r="D23" s="249">
        <v>0</v>
      </c>
      <c r="E23" s="113" t="str">
        <f>IF($A23="","",IF(LEFT(C$8,1)="C","",IF(OR(AND(RIGHT(Eligibility!$M$28,1)="Y",LEFT($C$4,1)="A",$C$9="Cat 1"),AND(RIGHT(EligReCert!$M$24,1)="Y",LEFT($C$4,1)="M",$C$9="Cat 1")),"Not Eligible*",IF($C$9="Cat 1",ROUND($D23*E$7,0),""))))</f>
        <v/>
      </c>
      <c r="F23" s="113" t="str">
        <f>IF($A23="","",IF(LEFT(D$8,1)="C","",IF(OR(AND(RIGHT(Eligibility!$M$28,1)="Y",LEFT($C$4,1)="A",$C$9="Cat 2"),AND(RIGHT(EligReCert!$M$24,1)="Y",LEFT($C$4,1)="M",$C$9="Cat 2")),"Not Eligible*",IF($C$9="Cat 2",ROUND($D23*F$7,0),""))))</f>
        <v/>
      </c>
      <c r="G23" s="113" t="str">
        <f>IF($A23="","",IF(LEFT(E$8,1)="C","",IF(OR(AND(RIGHT(Eligibility!$M$28,1)="Y",LEFT($C$4,1)="A",$C$9="Cat 3"),AND(RIGHT(EligReCert!$M$24,1)="Y",LEFT($C$4,1)="M",$C$9="Cat 3")),"Not Eligible*",IF($C$9="Cat 3",ROUND($D23*G$7,0),""))))</f>
        <v/>
      </c>
      <c r="H23" s="113" t="str">
        <f>IF($A23="","",IF(LEFT(F$8,1)="C","",IF(OR(AND(RIGHT(Eligibility!$M$28,1)="Y",LEFT($C$4,1)="A",$C$9="Cat 4"),AND(RIGHT(EligReCert!$M$24,1)="Y",LEFT($C$4,1)="M",$C$9="Cat 4")),"Not Eligible*",IF($C$9="Cat 4",ROUND($D23*H$7,0),""))))</f>
        <v/>
      </c>
      <c r="I23" s="113" t="str">
        <f>IF($A23="","",IF(LEFT(G$8,1)="C","",IF(OR(AND(RIGHT(Eligibility!$M$28,1)="Y",LEFT($C$4,1)="A",$C$9="Cat 5"),AND(RIGHT(EligReCert!$M$24,1)="Y",LEFT($C$4,1)="M",$C$9="Cat 5")),"Not Eligible*",IF($C$9="Cat 5",ROUND($D23*I$7,0),""))))</f>
        <v/>
      </c>
      <c r="J23" s="113" t="str">
        <f t="shared" si="4"/>
        <v/>
      </c>
      <c r="K23" s="173" t="str">
        <f t="shared" si="5"/>
        <v/>
      </c>
    </row>
    <row r="24" spans="1:11" ht="24.75" customHeight="1" thickBot="1" x14ac:dyDescent="0.3">
      <c r="A24" s="180"/>
      <c r="B24" s="478" t="s">
        <v>70</v>
      </c>
      <c r="C24" s="479"/>
      <c r="D24" s="251">
        <v>0</v>
      </c>
      <c r="E24" s="113" t="str">
        <f>IF($A24="","",IF(LEFT(C$8,1)="C","",IF(OR(AND(RIGHT(Eligibility!$M$28,1)="Y",LEFT($C$4,1)="A",$C$9="Cat 1"),AND(RIGHT(EligReCert!$M$24,1)="Y",LEFT($C$4,1)="M",$C$9="Cat 1")),"Not Eligible*",IF($C$9="Cat 1",ROUND($D24*E$7,0),""))))</f>
        <v/>
      </c>
      <c r="F24" s="113" t="str">
        <f>IF($A24="","",IF(LEFT(D$8,1)="C","",IF(OR(AND(RIGHT(Eligibility!$M$28,1)="Y",LEFT($C$4,1)="A",$C$9="Cat 2"),AND(RIGHT(EligReCert!$M$24,1)="Y",LEFT($C$4,1)="M",$C$9="Cat 2")),"Not Eligible*",IF($C$9="Cat 2",ROUND($D24*F$7,0),""))))</f>
        <v/>
      </c>
      <c r="G24" s="113" t="str">
        <f>IF($A24="","",IF(LEFT(E$8,1)="C","",IF(OR(AND(RIGHT(Eligibility!$M$28,1)="Y",LEFT($C$4,1)="A",$C$9="Cat 3"),AND(RIGHT(EligReCert!$M$24,1)="Y",LEFT($C$4,1)="M",$C$9="Cat 3")),"Not Eligible*",IF($C$9="Cat 3",ROUND($D24*G$7,0),""))))</f>
        <v/>
      </c>
      <c r="H24" s="113" t="str">
        <f>IF($A24="","",IF(LEFT(F$8,1)="C","",IF(OR(AND(RIGHT(Eligibility!$M$28,1)="Y",LEFT($C$4,1)="A",$C$9="Cat 4"),AND(RIGHT(EligReCert!$M$24,1)="Y",LEFT($C$4,1)="M",$C$9="Cat 4")),"Not Eligible*",IF($C$9="Cat 4",ROUND($D24*H$7,0),""))))</f>
        <v/>
      </c>
      <c r="I24" s="113" t="str">
        <f>IF($A24="","",IF(LEFT(G$8,1)="C","",IF(OR(AND(RIGHT(Eligibility!$M$28,1)="Y",LEFT($C$4,1)="A",$C$9="Cat 5"),AND(RIGHT(EligReCert!$M$24,1)="Y",LEFT($C$4,1)="M",$C$9="Cat 5")),"Not Eligible*",IF($C$9="Cat 5",ROUND($D24*I$7,0),""))))</f>
        <v/>
      </c>
      <c r="J24" s="113" t="str">
        <f t="shared" si="4"/>
        <v/>
      </c>
      <c r="K24" s="173" t="str">
        <f t="shared" si="5"/>
        <v/>
      </c>
    </row>
    <row r="25" spans="1:11" ht="24.75" customHeight="1" thickBot="1" x14ac:dyDescent="0.3">
      <c r="A25" s="180"/>
      <c r="B25" s="478" t="s">
        <v>71</v>
      </c>
      <c r="C25" s="479"/>
      <c r="D25" s="249">
        <v>0</v>
      </c>
      <c r="E25" s="113" t="str">
        <f>IF($A25="","",IF(LEFT(C$8,1)="C","",IF(OR(AND(RIGHT(Eligibility!$M$28,1)="Y",LEFT($C$4,1)="A",$C$9="Cat 1"),AND(RIGHT(EligReCert!$M$24,1)="Y",LEFT($C$4,1)="M",$C$9="Cat 1")),"Not Eligible*",IF($C$9="Cat 1",ROUND($D25*E$7,0),""))))</f>
        <v/>
      </c>
      <c r="F25" s="113" t="str">
        <f>IF($A25="","",IF(LEFT(D$8,1)="C","",IF(OR(AND(RIGHT(Eligibility!$M$28,1)="Y",LEFT($C$4,1)="A",$C$9="Cat 2"),AND(RIGHT(EligReCert!$M$24,1)="Y",LEFT($C$4,1)="M",$C$9="Cat 2")),"Not Eligible*",IF($C$9="Cat 2",ROUND($D25*F$7,0),""))))</f>
        <v/>
      </c>
      <c r="G25" s="113" t="str">
        <f>IF($A25="","",IF(LEFT(E$8,1)="C","",IF(OR(AND(RIGHT(Eligibility!$M$28,1)="Y",LEFT($C$4,1)="A",$C$9="Cat 3"),AND(RIGHT(EligReCert!$M$24,1)="Y",LEFT($C$4,1)="M",$C$9="Cat 3")),"Not Eligible*",IF($C$9="Cat 3",ROUND($D25*G$7,0),""))))</f>
        <v/>
      </c>
      <c r="H25" s="113" t="str">
        <f>IF($A25="","",IF(LEFT(F$8,1)="C","",IF(OR(AND(RIGHT(Eligibility!$M$28,1)="Y",LEFT($C$4,1)="A",$C$9="Cat 4"),AND(RIGHT(EligReCert!$M$24,1)="Y",LEFT($C$4,1)="M",$C$9="Cat 4")),"Not Eligible*",IF($C$9="Cat 4",ROUND($D25*H$7,0),""))))</f>
        <v/>
      </c>
      <c r="I25" s="113" t="str">
        <f>IF($A25="","",IF(LEFT(G$8,1)="C","",IF(OR(AND(RIGHT(Eligibility!$M$28,1)="Y",LEFT($C$4,1)="A",$C$9="Cat 5"),AND(RIGHT(EligReCert!$M$24,1)="Y",LEFT($C$4,1)="M",$C$9="Cat 5")),"Not Eligible*",IF($C$9="Cat 5",ROUND($D25*I$7,0),""))))</f>
        <v/>
      </c>
      <c r="J25" s="113" t="str">
        <f t="shared" si="4"/>
        <v/>
      </c>
      <c r="K25" s="173" t="str">
        <f t="shared" si="5"/>
        <v/>
      </c>
    </row>
    <row r="26" spans="1:11" ht="13" thickBot="1" x14ac:dyDescent="0.3">
      <c r="A26" s="180"/>
      <c r="B26" s="493" t="s">
        <v>72</v>
      </c>
      <c r="C26" s="494"/>
      <c r="D26" s="249">
        <v>0</v>
      </c>
      <c r="E26" s="113" t="str">
        <f>IF($A26="","",IF(LEFT(C$8,1)="C","",IF(OR(AND(RIGHT(Eligibility!$M$28,1)="Y",LEFT($C$4,1)="A",$C$9="Cat 1"),AND(RIGHT(EligReCert!$M$24,1)="Y",LEFT($C$4,1)="M",$C$9="Cat 1")),"Not Eligible*",IF($C$9="Cat 1",ROUND($D26*E$7,0),""))))</f>
        <v/>
      </c>
      <c r="F26" s="113" t="str">
        <f>IF($A26="","",IF(LEFT(D$8,1)="C","",IF(OR(AND(RIGHT(Eligibility!$M$28,1)="Y",LEFT($C$4,1)="A",$C$9="Cat 2"),AND(RIGHT(EligReCert!$M$24,1)="Y",LEFT($C$4,1)="M",$C$9="Cat 2")),"Not Eligible*",IF($C$9="Cat 2",ROUND($D26*F$7,0),""))))</f>
        <v/>
      </c>
      <c r="G26" s="113" t="str">
        <f>IF($A26="","",IF(LEFT(E$8,1)="C","",IF(OR(AND(RIGHT(Eligibility!$M$28,1)="Y",LEFT($C$4,1)="A",$C$9="Cat 3"),AND(RIGHT(EligReCert!$M$24,1)="Y",LEFT($C$4,1)="M",$C$9="Cat 3")),"Not Eligible*",IF($C$9="Cat 3",ROUND($D26*G$7,0),""))))</f>
        <v/>
      </c>
      <c r="H26" s="113" t="str">
        <f>IF($A26="","",IF(LEFT(F$8,1)="C","",IF(OR(AND(RIGHT(Eligibility!$M$28,1)="Y",LEFT($C$4,1)="A",$C$9="Cat 4"),AND(RIGHT(EligReCert!$M$24,1)="Y",LEFT($C$4,1)="M",$C$9="Cat 4")),"Not Eligible*",IF($C$9="Cat 4",ROUND($D26*H$7,0),""))))</f>
        <v/>
      </c>
      <c r="I26" s="113" t="str">
        <f>IF($A26="","",IF(LEFT(G$8,1)="C","",IF(OR(AND(RIGHT(Eligibility!$M$28,1)="Y",LEFT($C$4,1)="A",$C$9="Cat 5"),AND(RIGHT(EligReCert!$M$24,1)="Y",LEFT($C$4,1)="M",$C$9="Cat 5")),"Not Eligible*",IF($C$9="Cat 5",ROUND($D26*I$7,0),""))))</f>
        <v/>
      </c>
      <c r="J26" s="113" t="str">
        <f t="shared" si="4"/>
        <v/>
      </c>
      <c r="K26" s="173" t="str">
        <f t="shared" si="5"/>
        <v/>
      </c>
    </row>
    <row r="27" spans="1:11" ht="13" thickBot="1" x14ac:dyDescent="0.3">
      <c r="A27" s="180"/>
      <c r="B27" s="478" t="s">
        <v>73</v>
      </c>
      <c r="C27" s="479"/>
      <c r="D27" s="251">
        <v>0</v>
      </c>
      <c r="E27" s="113" t="str">
        <f>IF($A27="","",IF(LEFT(C$8,1)="C","",IF(OR(AND(RIGHT(Eligibility!$M$28,1)="Y",LEFT($C$4,1)="A",$C$9="Cat 1"),AND(RIGHT(EligReCert!$M$24,1)="Y",LEFT($C$4,1)="M",$C$9="Cat 1")),"Not Eligible*",IF($C$9="Cat 1",ROUND($D27*E$7,0),""))))</f>
        <v/>
      </c>
      <c r="F27" s="113" t="str">
        <f>IF($A27="","",IF(LEFT(D$8,1)="C","",IF(OR(AND(RIGHT(Eligibility!$M$28,1)="Y",LEFT($C$4,1)="A",$C$9="Cat 2"),AND(RIGHT(EligReCert!$M$24,1)="Y",LEFT($C$4,1)="M",$C$9="Cat 2")),"Not Eligible*",IF($C$9="Cat 2",ROUND($D27*F$7,0),""))))</f>
        <v/>
      </c>
      <c r="G27" s="113" t="str">
        <f>IF($A27="","",IF(LEFT(E$8,1)="C","",IF(OR(AND(RIGHT(Eligibility!$M$28,1)="Y",LEFT($C$4,1)="A",$C$9="Cat 3"),AND(RIGHT(EligReCert!$M$24,1)="Y",LEFT($C$4,1)="M",$C$9="Cat 3")),"Not Eligible*",IF($C$9="Cat 3",ROUND($D27*G$7,0),""))))</f>
        <v/>
      </c>
      <c r="H27" s="113" t="str">
        <f>IF($A27="","",IF(LEFT(F$8,1)="C","",IF(OR(AND(RIGHT(Eligibility!$M$28,1)="Y",LEFT($C$4,1)="A",$C$9="Cat 4"),AND(RIGHT(EligReCert!$M$24,1)="Y",LEFT($C$4,1)="M",$C$9="Cat 4")),"Not Eligible*",IF($C$9="Cat 4",ROUND($D27*H$7,0),""))))</f>
        <v/>
      </c>
      <c r="I27" s="113" t="str">
        <f>IF($A27="","",IF(LEFT(G$8,1)="C","",IF(OR(AND(RIGHT(Eligibility!$M$28,1)="Y",LEFT($C$4,1)="A",$C$9="Cat 5"),AND(RIGHT(EligReCert!$M$24,1)="Y",LEFT($C$4,1)="M",$C$9="Cat 5")),"Not Eligible*",IF($C$9="Cat 5",ROUND($D27*I$7,0),""))))</f>
        <v/>
      </c>
      <c r="J27" s="113" t="str">
        <f t="shared" si="4"/>
        <v/>
      </c>
      <c r="K27" s="173" t="str">
        <f t="shared" si="5"/>
        <v/>
      </c>
    </row>
    <row r="28" spans="1:11" ht="13" thickBot="1" x14ac:dyDescent="0.3">
      <c r="A28" s="180"/>
      <c r="B28" s="478" t="s">
        <v>74</v>
      </c>
      <c r="C28" s="479"/>
      <c r="D28" s="249">
        <v>0</v>
      </c>
      <c r="E28" s="113" t="str">
        <f>IF($A28="","",IF(LEFT(C$8,1)="C","",IF(OR(AND(RIGHT(Eligibility!$M$28,1)="Y",LEFT($C$4,1)="A",$C$9="Cat 1"),AND(RIGHT(EligReCert!$M$24,1)="Y",LEFT($C$4,1)="M",$C$9="Cat 1")),"Not Eligible*",IF($C$9="Cat 1",ROUND($D28*E$7,0),""))))</f>
        <v/>
      </c>
      <c r="F28" s="113" t="str">
        <f>IF($A28="","",IF(LEFT(D$8,1)="C","",IF(OR(AND(RIGHT(Eligibility!$M$28,1)="Y",LEFT($C$4,1)="A",$C$9="Cat 2"),AND(RIGHT(EligReCert!$M$24,1)="Y",LEFT($C$4,1)="M",$C$9="Cat 2")),"Not Eligible*",IF($C$9="Cat 2",ROUND($D28*F$7,0),""))))</f>
        <v/>
      </c>
      <c r="G28" s="113" t="str">
        <f>IF($A28="","",IF(LEFT(E$8,1)="C","",IF(OR(AND(RIGHT(Eligibility!$M$28,1)="Y",LEFT($C$4,1)="A",$C$9="Cat 3"),AND(RIGHT(EligReCert!$M$24,1)="Y",LEFT($C$4,1)="M",$C$9="Cat 3")),"Not Eligible*",IF($C$9="Cat 3",ROUND($D28*G$7,0),""))))</f>
        <v/>
      </c>
      <c r="H28" s="113" t="str">
        <f>IF($A28="","",IF(LEFT(F$8,1)="C","",IF(OR(AND(RIGHT(Eligibility!$M$28,1)="Y",LEFT($C$4,1)="A",$C$9="Cat 4"),AND(RIGHT(EligReCert!$M$24,1)="Y",LEFT($C$4,1)="M",$C$9="Cat 4")),"Not Eligible*",IF($C$9="Cat 4",ROUND($D28*H$7,0),""))))</f>
        <v/>
      </c>
      <c r="I28" s="113" t="str">
        <f>IF($A28="","",IF(LEFT(G$8,1)="C","",IF(OR(AND(RIGHT(Eligibility!$M$28,1)="Y",LEFT($C$4,1)="A",$C$9="Cat 5"),AND(RIGHT(EligReCert!$M$24,1)="Y",LEFT($C$4,1)="M",$C$9="Cat 5")),"Not Eligible*",IF($C$9="Cat 5",ROUND($D28*I$7,0),""))))</f>
        <v/>
      </c>
      <c r="J28" s="113" t="str">
        <f t="shared" si="4"/>
        <v/>
      </c>
      <c r="K28" s="173" t="str">
        <f t="shared" si="5"/>
        <v/>
      </c>
    </row>
    <row r="29" spans="1:11" ht="13" thickBot="1" x14ac:dyDescent="0.3">
      <c r="A29" s="180"/>
      <c r="B29" s="478" t="s">
        <v>75</v>
      </c>
      <c r="C29" s="479"/>
      <c r="D29" s="251">
        <v>0</v>
      </c>
      <c r="E29" s="113" t="str">
        <f>IF($A29="","",IF(LEFT(C$8,1)="C","",IF(OR(AND(RIGHT(Eligibility!$M$28,1)="Y",LEFT($C$4,1)="A",$C$9="Cat 1"),AND(RIGHT(EligReCert!$M$24,1)="Y",LEFT($C$4,1)="M",$C$9="Cat 1")),"Not Eligible*",IF($C$9="Cat 1",ROUND($D29*E$7,0),""))))</f>
        <v/>
      </c>
      <c r="F29" s="113" t="str">
        <f>IF($A29="","",IF(LEFT(D$8,1)="C","",IF(OR(AND(RIGHT(Eligibility!$M$28,1)="Y",LEFT($C$4,1)="A",$C$9="Cat 2"),AND(RIGHT(EligReCert!$M$24,1)="Y",LEFT($C$4,1)="M",$C$9="Cat 2")),"Not Eligible*",IF($C$9="Cat 2",ROUND($D29*F$7,0),""))))</f>
        <v/>
      </c>
      <c r="G29" s="113" t="str">
        <f>IF($A29="","",IF(LEFT(E$8,1)="C","",IF(OR(AND(RIGHT(Eligibility!$M$28,1)="Y",LEFT($C$4,1)="A",$C$9="Cat 3"),AND(RIGHT(EligReCert!$M$24,1)="Y",LEFT($C$4,1)="M",$C$9="Cat 3")),"Not Eligible*",IF($C$9="Cat 3",ROUND($D29*G$7,0),""))))</f>
        <v/>
      </c>
      <c r="H29" s="113" t="str">
        <f>IF($A29="","",IF(LEFT(F$8,1)="C","",IF(OR(AND(RIGHT(Eligibility!$M$28,1)="Y",LEFT($C$4,1)="A",$C$9="Cat 4"),AND(RIGHT(EligReCert!$M$24,1)="Y",LEFT($C$4,1)="M",$C$9="Cat 4")),"Not Eligible*",IF($C$9="Cat 4",ROUND($D29*H$7,0),""))))</f>
        <v/>
      </c>
      <c r="I29" s="113" t="str">
        <f>IF($A29="","",IF(LEFT(G$8,1)="C","",IF(OR(AND(RIGHT(Eligibility!$M$28,1)="Y",LEFT($C$4,1)="A",$C$9="Cat 5"),AND(RIGHT(EligReCert!$M$24,1)="Y",LEFT($C$4,1)="M",$C$9="Cat 5")),"Not Eligible*",IF($C$9="Cat 5",ROUND($D29*I$7,0),""))))</f>
        <v/>
      </c>
      <c r="J29" s="113" t="str">
        <f t="shared" si="4"/>
        <v/>
      </c>
      <c r="K29" s="173" t="str">
        <f t="shared" si="5"/>
        <v/>
      </c>
    </row>
    <row r="30" spans="1:11" ht="13" thickBot="1" x14ac:dyDescent="0.3">
      <c r="A30" s="180"/>
      <c r="B30" s="478" t="s">
        <v>112</v>
      </c>
      <c r="C30" s="479"/>
      <c r="D30" s="251">
        <v>0</v>
      </c>
      <c r="E30" s="113" t="str">
        <f>IF($A30="","",IF(LEFT(C$8,1)="C","",IF(OR(AND(RIGHT(Eligibility!$M$28,1)="Y",LEFT($C$4,1)="A",$C$9="Cat 1"),AND(RIGHT(EligReCert!$M$24,1)="Y",LEFT($C$4,1)="M",$C$9="Cat 1")),"Not Eligible*",IF($C$9="Cat 1",ROUND($D30*E$7,0),""))))</f>
        <v/>
      </c>
      <c r="F30" s="113" t="str">
        <f>IF($A30="","",IF(LEFT(D$8,1)="C","",IF(OR(AND(RIGHT(Eligibility!$M$28,1)="Y",LEFT($C$4,1)="A",$C$9="Cat 2"),AND(RIGHT(EligReCert!$M$24,1)="Y",LEFT($C$4,1)="M",$C$9="Cat 2")),"Not Eligible*",IF($C$9="Cat 2",ROUND($D30*F$7,0),""))))</f>
        <v/>
      </c>
      <c r="G30" s="113" t="str">
        <f>IF($A30="","",IF(LEFT(E$8,1)="C","",IF(OR(AND(RIGHT(Eligibility!$M$28,1)="Y",LEFT($C$4,1)="A",$C$9="Cat 3"),AND(RIGHT(EligReCert!$M$24,1)="Y",LEFT($C$4,1)="M",$C$9="Cat 3")),"Not Eligible*",IF($C$9="Cat 3",ROUND($D30*G$7,0),""))))</f>
        <v/>
      </c>
      <c r="H30" s="113" t="str">
        <f>IF($A30="","",IF(LEFT(F$8,1)="C","",IF(OR(AND(RIGHT(Eligibility!$M$28,1)="Y",LEFT($C$4,1)="A",$C$9="Cat 4"),AND(RIGHT(EligReCert!$M$24,1)="Y",LEFT($C$4,1)="M",$C$9="Cat 4")),"Not Eligible*",IF($C$9="Cat 4",ROUND($D30*H$7,0),""))))</f>
        <v/>
      </c>
      <c r="I30" s="113" t="str">
        <f>IF($A30="","",IF(LEFT(G$8,1)="C","",IF(OR(AND(RIGHT(Eligibility!$M$28,1)="Y",LEFT($C$4,1)="A",$C$9="Cat 5"),AND(RIGHT(EligReCert!$M$24,1)="Y",LEFT($C$4,1)="M",$C$9="Cat 5")),"Not Eligible*",IF($C$9="Cat 5",ROUND($D30*I$7,0),""))))</f>
        <v/>
      </c>
      <c r="J30" s="113" t="str">
        <f t="shared" si="4"/>
        <v/>
      </c>
      <c r="K30" s="173" t="str">
        <f t="shared" si="5"/>
        <v/>
      </c>
    </row>
    <row r="31" spans="1:11" ht="13" thickBot="1" x14ac:dyDescent="0.3">
      <c r="A31" s="180"/>
      <c r="B31" s="478" t="s">
        <v>76</v>
      </c>
      <c r="C31" s="479"/>
      <c r="D31" s="251">
        <v>0</v>
      </c>
      <c r="E31" s="113" t="str">
        <f>IF($A31="","",IF(LEFT(C$8,1)="C","",IF(OR(AND(RIGHT(Eligibility!$M$28,1)="Y",LEFT($C$4,1)="A",$C$9="Cat 1"),AND(RIGHT(EligReCert!$M$24,1)="Y",LEFT($C$4,1)="M",$C$9="Cat 1")),"Not Eligible*",IF($C$9="Cat 1",ROUND($D31*E$7,0),""))))</f>
        <v/>
      </c>
      <c r="F31" s="113" t="str">
        <f>IF($A31="","",IF(LEFT(D$8,1)="C","",IF(OR(AND(RIGHT(Eligibility!$M$28,1)="Y",LEFT($C$4,1)="A",$C$9="Cat 2"),AND(RIGHT(EligReCert!$M$24,1)="Y",LEFT($C$4,1)="M",$C$9="Cat 2")),"Not Eligible*",IF($C$9="Cat 2",ROUND($D31*F$7,0),""))))</f>
        <v/>
      </c>
      <c r="G31" s="113" t="str">
        <f>IF($A31="","",IF(LEFT(E$8,1)="C","",IF(OR(AND(RIGHT(Eligibility!$M$28,1)="Y",LEFT($C$4,1)="A",$C$9="Cat 3"),AND(RIGHT(EligReCert!$M$24,1)="Y",LEFT($C$4,1)="M",$C$9="Cat 3")),"Not Eligible*",IF($C$9="Cat 3",ROUND($D31*G$7,0),""))))</f>
        <v/>
      </c>
      <c r="H31" s="113" t="str">
        <f>IF($A31="","",IF(LEFT(F$8,1)="C","",IF(OR(AND(RIGHT(Eligibility!$M$28,1)="Y",LEFT($C$4,1)="A",$C$9="Cat 4"),AND(RIGHT(EligReCert!$M$24,1)="Y",LEFT($C$4,1)="M",$C$9="Cat 4")),"Not Eligible*",IF($C$9="Cat 4",ROUND($D31*H$7,0),""))))</f>
        <v/>
      </c>
      <c r="I31" s="113" t="str">
        <f>IF($A31="","",IF(LEFT(G$8,1)="C","",IF(OR(AND(RIGHT(Eligibility!$M$28,1)="Y",LEFT($C$4,1)="A",$C$9="Cat 5"),AND(RIGHT(EligReCert!$M$24,1)="Y",LEFT($C$4,1)="M",$C$9="Cat 5")),"Not Eligible*",IF($C$9="Cat 5",ROUND($D31*I$7,0),""))))</f>
        <v/>
      </c>
      <c r="J31" s="113" t="str">
        <f t="shared" si="4"/>
        <v/>
      </c>
      <c r="K31" s="173" t="str">
        <f t="shared" si="5"/>
        <v/>
      </c>
    </row>
    <row r="32" spans="1:11" ht="13" thickBot="1" x14ac:dyDescent="0.3">
      <c r="A32" s="197"/>
      <c r="B32" s="495" t="s">
        <v>83</v>
      </c>
      <c r="C32" s="198" t="s">
        <v>211</v>
      </c>
      <c r="D32" s="252">
        <v>152</v>
      </c>
      <c r="E32" s="113" t="str">
        <f>IF($A32="","",IF(LEFT(C$8,1)="C","",IF(OR(AND(RIGHT(Eligibility!$M$28,1)="Y",LEFT($C$4,1)="A",$C$9="Cat 1"),AND(RIGHT(EligReCert!$M$24,1)="Y",LEFT($C$4,1)="M",$C$9="Cat 1")),"Not Eligible*",IF($C$9="Cat 1",ROUND($D32*E$7,0),""))))</f>
        <v/>
      </c>
      <c r="F32" s="113" t="str">
        <f>IF($A32="","",IF(LEFT(D$8,1)="C","",IF(OR(AND(RIGHT(Eligibility!$M$28,1)="Y",LEFT($C$4,1)="A",$C$9="Cat 2"),AND(RIGHT(EligReCert!$M$24,1)="Y",LEFT($C$4,1)="M",$C$9="Cat 2")),"Not Eligible*",IF($C$9="Cat 2",ROUND($D32*F$7,0),""))))</f>
        <v/>
      </c>
      <c r="G32" s="113" t="str">
        <f>IF($A32="","",IF(LEFT(E$8,1)="C","",IF(OR(AND(RIGHT(Eligibility!$M$28,1)="Y",LEFT($C$4,1)="A",$C$9="Cat 3"),AND(RIGHT(EligReCert!$M$24,1)="Y",LEFT($C$4,1)="M",$C$9="Cat 3")),"Not Eligible*",IF($C$9="Cat 3",ROUND($D32*G$7,0),""))))</f>
        <v/>
      </c>
      <c r="H32" s="113" t="str">
        <f>IF($A32="","",IF(LEFT(F$8,1)="C","",IF(OR(AND(RIGHT(Eligibility!$M$28,1)="Y",LEFT($C$4,1)="A",$C$9="Cat 4"),AND(RIGHT(EligReCert!$M$24,1)="Y",LEFT($C$4,1)="M",$C$9="Cat 4")),"Not Eligible*",IF($C$9="Cat 4",ROUND($D32*H$7,0),""))))</f>
        <v/>
      </c>
      <c r="I32" s="113" t="str">
        <f>IF($A32="","",IF(LEFT(G$8,1)="C","",IF(OR(AND(RIGHT(Eligibility!$M$28,1)="Y",LEFT($C$4,1)="A",$C$9="Cat 5"),AND(RIGHT(EligReCert!$M$24,1)="Y",LEFT($C$4,1)="M",$C$9="Cat 5")),"Not Eligible*",IF($C$9="Cat 5",ROUND($D32*I$7,0),""))))</f>
        <v/>
      </c>
      <c r="J32" s="113" t="str">
        <f t="shared" ref="J32" si="6">IF($A32="","",IF(LEFT(C$8,1)="C","",IF($C$9="Cat 6","Not Eligible*","")))</f>
        <v/>
      </c>
      <c r="K32" s="173" t="str">
        <f t="shared" ref="K32" si="7">IF($A32="","",IF(LEFT(C$8,1)="C","",IF($C$9="N/A","Not Eligible*","")))</f>
        <v/>
      </c>
    </row>
    <row r="33" spans="1:13" ht="25.5" customHeight="1" thickBot="1" x14ac:dyDescent="0.3">
      <c r="A33" s="181"/>
      <c r="B33" s="496"/>
      <c r="C33" s="199" t="s">
        <v>212</v>
      </c>
      <c r="D33" s="253">
        <v>340</v>
      </c>
      <c r="E33" s="174" t="str">
        <f>IF($A33="","",IF(LEFT(C$8,1)="C","",IF(OR(AND(RIGHT(Eligibility!$M$28,1)="Y",LEFT($C$4,1)="A",$C$9="Cat 1"),AND(RIGHT(EligReCert!$M$24,1)="Y",LEFT($C$4,1)="M",$C$9="Cat 1")),"Not Eligible*",IF($C$9="Cat 1",ROUND($D33*E$7,0),""))))</f>
        <v/>
      </c>
      <c r="F33" s="174" t="str">
        <f>IF($A33="","",IF(LEFT(D$8,1)="C","",IF(OR(AND(RIGHT(Eligibility!$M$28,1)="Y",LEFT($C$4,1)="A",$C$9="Cat 2"),AND(RIGHT(EligReCert!$M$24,1)="Y",LEFT($C$4,1)="M",$C$9="Cat 2")),"Not Eligible*",IF($C$9="Cat 2",ROUND($D33*F$7,0),""))))</f>
        <v/>
      </c>
      <c r="G33" s="174" t="str">
        <f>IF($A33="","",IF(LEFT(E$8,1)="C","",IF(OR(AND(RIGHT(Eligibility!$M$28,1)="Y",LEFT($C$4,1)="A",$C$9="Cat 3"),AND(RIGHT(EligReCert!$M$24,1)="Y",LEFT($C$4,1)="M",$C$9="Cat 3")),"Not Eligible*",IF($C$9="Cat 3",ROUND($D33*G$7,0),""))))</f>
        <v/>
      </c>
      <c r="H33" s="174" t="str">
        <f>IF($A33="","",IF(LEFT(F$8,1)="C","",IF(OR(AND(RIGHT(Eligibility!$M$28,1)="Y",LEFT($C$4,1)="A",$C$9="Cat 4"),AND(RIGHT(EligReCert!$M$24,1)="Y",LEFT($C$4,1)="M",$C$9="Cat 4")),"Not Eligible*",IF($C$9="Cat 4",ROUND($D33*H$7,0),""))))</f>
        <v/>
      </c>
      <c r="I33" s="174" t="str">
        <f>IF($A33="","",IF(LEFT(G$8,1)="C","",IF(OR(AND(RIGHT(Eligibility!$M$28,1)="Y",LEFT($C$4,1)="A",$C$9="Cat 5"),AND(RIGHT(EligReCert!$M$24,1)="Y",LEFT($C$4,1)="M",$C$9="Cat 5")),"Not Eligible*",IF($C$9="Cat 5",ROUND($D33*I$7,0),""))))</f>
        <v/>
      </c>
      <c r="J33" s="174" t="str">
        <f t="shared" si="4"/>
        <v/>
      </c>
      <c r="K33" s="175" t="str">
        <f t="shared" si="5"/>
        <v/>
      </c>
    </row>
    <row r="34" spans="1:13" ht="13" thickTop="1" x14ac:dyDescent="0.25">
      <c r="A34" s="177"/>
      <c r="E34" s="114"/>
      <c r="F34" s="114"/>
      <c r="G34" s="114"/>
      <c r="H34" s="114"/>
      <c r="I34" s="114"/>
      <c r="J34" s="115"/>
      <c r="K34" s="187"/>
    </row>
    <row r="35" spans="1:13" ht="13" thickBot="1" x14ac:dyDescent="0.3">
      <c r="A35" s="183"/>
      <c r="B35" s="480" t="s">
        <v>274</v>
      </c>
      <c r="C35" s="481"/>
      <c r="D35" s="184"/>
      <c r="E35" s="185" t="str">
        <f>IF($C$9="N/A","",IF(AND(SUM(E12:E33)&gt;0,Cap!$I15-SUM(E12:E33)&lt;0),Cap!$I15,IF(OR(AND(RIGHT(Eligibility!$M$28,1)="Y",LEFT($C$4,5)="Eligi",$C$9="Cat 1"),AND(RIGHT(EligReCert!$M$24,1)="Y",LEFT($C$4,5)="EligR",$C$9="Cat 1")),0,IF($C$9="Cat 1",SUM(E12:E33),""))))</f>
        <v/>
      </c>
      <c r="F35" s="185" t="str">
        <f>IF($C$9="N/A","",IF(AND(SUM(F12:F33)&gt;0,Cap!$I15-SUM(F12:F33)&lt;0),Cap!$I15,IF(OR(AND(RIGHT(Eligibility!$M$28,1)="Y",LEFT($C$4,1)="A",$C$9="Cat 2"),AND(RIGHT(EligReCert!$M$24,1)="Y",LEFT($C$4,1)="M",$C$9="Cat 2")),0,IF($C$9="Cat 2",SUM(F12:F33),""))))</f>
        <v/>
      </c>
      <c r="G35" s="185" t="str">
        <f>IF($C$9="N/A","",IF(AND(SUM(G12:G33)&gt;0,Cap!$I15-SUM(G12:G33)&lt;0),Cap!$I15,IF(OR(AND(RIGHT(Eligibility!$M$28,1)="Y",LEFT($C$4,1)="A",$C$9="Cat 3"),AND(RIGHT(EligReCert!$M$24,1)="Y",LEFT($C$4,1)="M",$C$9="Cat 3")),0,IF($C$9="Cat 3",SUM(G12:G33),""))))</f>
        <v/>
      </c>
      <c r="H35" s="185" t="str">
        <f>IF($C$9="N/A","",IF(AND(SUM(H12:H33)&gt;0,Cap!$I15-SUM(H12:H33)&lt;0),Cap!$I15,IF(OR(AND(RIGHT(Eligibility!$M$28,1)="Y",LEFT($C$4,1)="A",$C$9="Cat 4"),AND(RIGHT(EligReCert!$M$24,1)="Y",LEFT($C$4,1)="M",$C$9="Cat 4")),0,IF($C$9="Cat 4",SUM(H12:H33),""))))</f>
        <v/>
      </c>
      <c r="I35" s="185" t="str">
        <f>IF($C$9="N/A","",IF(AND(SUM(I12:I33)&gt;0,Cap!$I15-SUM(I12:I33)&lt;0),Cap!$I15,IF(OR(AND(RIGHT(Eligibility!$M$28,1)="Y",LEFT($C$4,5)="Eligi",$C$9="Cat 5"),AND(RIGHT(EligReCert!$M$24,1)="Y",LEFT($C$4,1)="M",$C$9="Cat 5")),0,IF($C$9="Cat 5",SUM(I12:I33),""))))</f>
        <v/>
      </c>
      <c r="J35" s="185" t="str">
        <f>IF($C$9="N/A","",IF(AND(SUM(J12:J33)&gt;0,Cap!I15-SUM(J12:J33)&lt;0),Cap!I15,IF(OR(AND(RIGHT(Eligibility!$M$28,1)="Y",LEFT($C$4,1)="A",$C$9="Cat 6"),AND(RIGHT(EligReCert!$M$24,1)="Y",LEFT($C$4,1)="M",$C$9="Cat 6")),0,IF($C$9="Cat 6",SUM(J12:J33),""))))</f>
        <v/>
      </c>
      <c r="K35" s="186">
        <f>IF(AND(SUM(J12:J33)&gt;0,Cap!J15-SUM(J12:J33)&lt;0),Cap!J15,IF(OR(AND(RIGHT(Eligibility!$M$28,1)="Y",LEFT($C$4,1)="A",$C$9="N/A"),AND(RIGHT(EligReCert!$M$24,1)="Y",LEFT($C$4,1)="M",$C$9="N/A")),0,IF($C$9="N/A",SUM(J12:J33),"")))</f>
        <v>0</v>
      </c>
      <c r="M35" s="41"/>
    </row>
    <row r="36" spans="1:13" ht="18" customHeight="1" thickTop="1" x14ac:dyDescent="0.25">
      <c r="A36" s="237" t="str">
        <f>IF(OR(AND(LEFT($C$4,5)="Eligi",RIGHT(Eligibility!M28,1)="Y"),AND(LEFT($C$4,5)="EligR",RIGHT(EligReCert!M24,1)="Y")),"* Not eligible due to total household income.","")</f>
        <v/>
      </c>
      <c r="B36" s="114"/>
      <c r="C36" s="114"/>
      <c r="D36" s="114"/>
      <c r="E36" s="238"/>
      <c r="F36" s="238"/>
      <c r="G36" s="238"/>
      <c r="H36" s="238"/>
      <c r="I36" s="238"/>
      <c r="J36" s="238"/>
      <c r="K36" s="238"/>
      <c r="L36" t="str">
        <f>IF(ISERROR(SUM(E35:K35)),"","")</f>
        <v/>
      </c>
    </row>
    <row r="37" spans="1:13" ht="17.5" x14ac:dyDescent="0.25">
      <c r="A37" s="237" t="str">
        <f>IF(ISERROR(SUM(E35:K35)),"",IF(OR(Cap!D6="",Cap!B8=""),"Please fill out top of Cap tab",IF(SUM(E35:K35)&lt;SUM(E12:K33),"Total Charges Today are reduced to not exceed Client Cap on Charges","")))</f>
        <v>Please fill out top of Cap tab</v>
      </c>
      <c r="B37" s="114"/>
      <c r="C37" s="114"/>
      <c r="D37" s="114"/>
      <c r="E37" s="114"/>
      <c r="F37" s="114"/>
      <c r="G37" s="114"/>
      <c r="H37" s="114"/>
      <c r="I37" s="114"/>
      <c r="J37" s="114"/>
      <c r="K37" s="114"/>
      <c r="M37" s="154"/>
    </row>
    <row r="38" spans="1:13" ht="15" customHeight="1" thickBot="1" x14ac:dyDescent="0.5">
      <c r="A38" s="155"/>
      <c r="B38" s="473"/>
      <c r="C38" s="474"/>
      <c r="D38" s="474"/>
      <c r="E38" s="156"/>
      <c r="F38" s="473"/>
      <c r="G38" s="474"/>
      <c r="H38" s="474"/>
      <c r="I38" s="189"/>
      <c r="J38" s="156" t="s">
        <v>111</v>
      </c>
      <c r="K38" s="222"/>
      <c r="M38" s="154"/>
    </row>
    <row r="39" spans="1:13" ht="17.5" x14ac:dyDescent="0.25">
      <c r="A39" s="155"/>
      <c r="B39" s="6" t="s">
        <v>38</v>
      </c>
      <c r="C39" s="6"/>
      <c r="D39" s="6"/>
      <c r="E39" s="1"/>
      <c r="F39" s="188" t="s">
        <v>181</v>
      </c>
      <c r="G39" s="6"/>
      <c r="H39" s="6"/>
      <c r="M39" s="154"/>
    </row>
    <row r="40" spans="1:13" ht="17.5" x14ac:dyDescent="0.25">
      <c r="A40" s="155"/>
      <c r="M40" s="154"/>
    </row>
    <row r="41" spans="1:13" ht="28.5" customHeight="1" thickBot="1" x14ac:dyDescent="0.4">
      <c r="A41" s="167" t="s">
        <v>177</v>
      </c>
      <c r="B41" s="489" t="str">
        <f>A1</f>
        <v>No Name Please Fill Out Eligibility Tab</v>
      </c>
      <c r="C41" s="490"/>
      <c r="D41" s="71" t="s">
        <v>268</v>
      </c>
    </row>
    <row r="42" spans="1:13" x14ac:dyDescent="0.25">
      <c r="B42" s="71" t="s">
        <v>269</v>
      </c>
    </row>
    <row r="43" spans="1:13" x14ac:dyDescent="0.25">
      <c r="B43" s="71" t="s">
        <v>270</v>
      </c>
    </row>
    <row r="44" spans="1:13" x14ac:dyDescent="0.25">
      <c r="B44" t="s">
        <v>271</v>
      </c>
    </row>
    <row r="46" spans="1:13" ht="17.25" customHeight="1" thickBot="1" x14ac:dyDescent="0.5">
      <c r="B46" s="473"/>
      <c r="C46" s="474"/>
      <c r="D46" s="474"/>
      <c r="E46" s="156"/>
      <c r="F46" s="473"/>
      <c r="G46" s="474"/>
      <c r="H46" s="474"/>
      <c r="I46" s="189"/>
      <c r="J46" s="156"/>
    </row>
    <row r="47" spans="1:13" x14ac:dyDescent="0.25">
      <c r="B47" s="6" t="s">
        <v>38</v>
      </c>
      <c r="C47" s="6"/>
      <c r="D47" s="6"/>
      <c r="E47" s="1"/>
      <c r="F47" s="188" t="s">
        <v>181</v>
      </c>
      <c r="G47" s="6"/>
      <c r="H47" s="6"/>
    </row>
    <row r="48" spans="1:13" x14ac:dyDescent="0.25">
      <c r="J48" s="63" t="str">
        <f>Eligibility!U42</f>
        <v>created 11/12</v>
      </c>
    </row>
  </sheetData>
  <sheetProtection sheet="1" objects="1" scenarios="1"/>
  <mergeCells count="42">
    <mergeCell ref="I7:I8"/>
    <mergeCell ref="B32:B33"/>
    <mergeCell ref="A4:B4"/>
    <mergeCell ref="D7:D8"/>
    <mergeCell ref="A1:B1"/>
    <mergeCell ref="B21:C21"/>
    <mergeCell ref="B22:C22"/>
    <mergeCell ref="B23:C23"/>
    <mergeCell ref="A2:B2"/>
    <mergeCell ref="B13:B14"/>
    <mergeCell ref="B41:C41"/>
    <mergeCell ref="E7:E8"/>
    <mergeCell ref="F7:F8"/>
    <mergeCell ref="G7:G8"/>
    <mergeCell ref="H7:H8"/>
    <mergeCell ref="B25:C25"/>
    <mergeCell ref="B38:D38"/>
    <mergeCell ref="F38:H38"/>
    <mergeCell ref="B26:C26"/>
    <mergeCell ref="B12:C12"/>
    <mergeCell ref="F46:H46"/>
    <mergeCell ref="B6:K6"/>
    <mergeCell ref="B27:C27"/>
    <mergeCell ref="B28:C28"/>
    <mergeCell ref="B35:C35"/>
    <mergeCell ref="B46:D46"/>
    <mergeCell ref="B29:C29"/>
    <mergeCell ref="B30:C30"/>
    <mergeCell ref="B19:C19"/>
    <mergeCell ref="B20:C20"/>
    <mergeCell ref="B15:B16"/>
    <mergeCell ref="B31:C31"/>
    <mergeCell ref="B24:C24"/>
    <mergeCell ref="B11:C11"/>
    <mergeCell ref="B17:C17"/>
    <mergeCell ref="B18:C18"/>
    <mergeCell ref="J1:K1"/>
    <mergeCell ref="J2:K2"/>
    <mergeCell ref="D1:E1"/>
    <mergeCell ref="D2:E2"/>
    <mergeCell ref="G1:H1"/>
    <mergeCell ref="G2:H2"/>
  </mergeCells>
  <conditionalFormatting sqref="F35">
    <cfRule type="expression" dxfId="9" priority="1">
      <formula>+$F$35&lt;0</formula>
    </cfRule>
  </conditionalFormatting>
  <dataValidations disablePrompts="1" count="1">
    <dataValidation type="list" showInputMessage="1" showErrorMessage="1" sqref="C4" xr:uid="{00000000-0002-0000-0600-000000000000}">
      <formula1>$M$7:$M$8</formula1>
    </dataValidation>
  </dataValidations>
  <pageMargins left="0.5" right="0.5" top="0.5" bottom="0.5" header="0.3" footer="0.3"/>
  <pageSetup scale="83" orientation="portrait" r:id="rId1"/>
  <colBreaks count="1" manualBreakCount="1">
    <brk id="11" max="1048575" man="1"/>
  </colBreaks>
  <ignoredErrors>
    <ignoredError sqref="J18:K1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3:W12"/>
  <sheetViews>
    <sheetView workbookViewId="0">
      <selection activeCell="D20" sqref="D20"/>
    </sheetView>
  </sheetViews>
  <sheetFormatPr defaultRowHeight="12.5" x14ac:dyDescent="0.25"/>
  <cols>
    <col min="4" max="4" width="10.1796875" customWidth="1"/>
    <col min="5" max="5" width="2" bestFit="1" customWidth="1"/>
    <col min="6" max="6" width="1.54296875" bestFit="1" customWidth="1"/>
    <col min="7" max="7" width="7.26953125" bestFit="1" customWidth="1"/>
    <col min="8" max="8" width="8.453125" customWidth="1"/>
    <col min="9" max="9" width="1.54296875" bestFit="1" customWidth="1"/>
    <col min="10" max="11" width="7.1796875" customWidth="1"/>
    <col min="12" max="12" width="1.54296875" bestFit="1" customWidth="1"/>
    <col min="15" max="15" width="1.54296875" bestFit="1" customWidth="1"/>
    <col min="18" max="18" width="1.54296875" bestFit="1" customWidth="1"/>
    <col min="21" max="21" width="1.54296875" bestFit="1" customWidth="1"/>
  </cols>
  <sheetData>
    <row r="3" spans="2:23" ht="25" x14ac:dyDescent="0.25">
      <c r="D3" s="136" t="s">
        <v>44</v>
      </c>
      <c r="E3" s="137" t="s">
        <v>140</v>
      </c>
      <c r="F3" s="138"/>
      <c r="G3" s="139"/>
      <c r="H3" s="137" t="s">
        <v>48</v>
      </c>
      <c r="I3" s="138"/>
      <c r="J3" s="145"/>
      <c r="K3" s="137" t="s">
        <v>49</v>
      </c>
      <c r="L3" s="138"/>
      <c r="M3" s="145"/>
      <c r="N3" s="137" t="s">
        <v>50</v>
      </c>
      <c r="O3" s="138"/>
      <c r="P3" s="145"/>
      <c r="Q3" s="137" t="s">
        <v>141</v>
      </c>
      <c r="R3" s="146"/>
      <c r="S3" s="145"/>
      <c r="T3" s="137" t="s">
        <v>142</v>
      </c>
      <c r="U3" s="146"/>
      <c r="V3" s="145"/>
      <c r="W3" s="147" t="s">
        <v>131</v>
      </c>
    </row>
    <row r="4" spans="2:23" x14ac:dyDescent="0.25">
      <c r="B4">
        <v>11170</v>
      </c>
      <c r="D4">
        <v>1</v>
      </c>
      <c r="E4" s="140">
        <v>0</v>
      </c>
      <c r="F4" s="141" t="s">
        <v>53</v>
      </c>
      <c r="G4" s="142">
        <f>B4</f>
        <v>11170</v>
      </c>
      <c r="H4" s="143">
        <f>G4+1</f>
        <v>11171</v>
      </c>
      <c r="I4" s="141" t="s">
        <v>53</v>
      </c>
      <c r="J4" s="142">
        <f>ROUND(G4*1.33,0)</f>
        <v>14856</v>
      </c>
      <c r="K4" s="143">
        <f>J4+1</f>
        <v>14857</v>
      </c>
      <c r="L4" s="141" t="s">
        <v>53</v>
      </c>
      <c r="M4" s="142">
        <f>ROUND(G4*1.5,0)</f>
        <v>16755</v>
      </c>
      <c r="N4" s="143">
        <f>M4+1</f>
        <v>16756</v>
      </c>
      <c r="O4" s="141" t="s">
        <v>53</v>
      </c>
      <c r="P4" s="142">
        <f>G4*2</f>
        <v>22340</v>
      </c>
      <c r="Q4" s="143">
        <f>P4+1</f>
        <v>22341</v>
      </c>
      <c r="R4" s="141" t="s">
        <v>53</v>
      </c>
      <c r="S4" s="142">
        <f>G4*3</f>
        <v>33510</v>
      </c>
      <c r="T4" s="143">
        <f>S4+1</f>
        <v>33511</v>
      </c>
      <c r="U4" s="141" t="s">
        <v>53</v>
      </c>
      <c r="V4" s="142">
        <f>G4*4</f>
        <v>44680</v>
      </c>
      <c r="W4" s="144">
        <f>V4+1</f>
        <v>44681</v>
      </c>
    </row>
    <row r="5" spans="2:23" x14ac:dyDescent="0.25">
      <c r="B5">
        <v>3960</v>
      </c>
      <c r="D5">
        <v>2</v>
      </c>
      <c r="E5" s="140">
        <v>0</v>
      </c>
      <c r="F5" s="141" t="s">
        <v>53</v>
      </c>
      <c r="G5" s="142">
        <f>B4+B5</f>
        <v>15130</v>
      </c>
      <c r="H5" s="143">
        <f t="shared" ref="H5:H11" si="0">G5+1</f>
        <v>15131</v>
      </c>
      <c r="I5" s="141" t="s">
        <v>53</v>
      </c>
      <c r="J5" s="142">
        <f t="shared" ref="J5:J11" si="1">ROUND(G5*1.33,0)</f>
        <v>20123</v>
      </c>
      <c r="K5" s="143">
        <f t="shared" ref="K5:K11" si="2">J5+1</f>
        <v>20124</v>
      </c>
      <c r="L5" s="141" t="s">
        <v>53</v>
      </c>
      <c r="M5" s="142">
        <f t="shared" ref="M5:M11" si="3">ROUND(G5*1.5,0)</f>
        <v>22695</v>
      </c>
      <c r="N5" s="143">
        <f t="shared" ref="N5:N11" si="4">M5+1</f>
        <v>22696</v>
      </c>
      <c r="O5" s="141" t="s">
        <v>53</v>
      </c>
      <c r="P5" s="142">
        <f t="shared" ref="P5:P11" si="5">G5*2</f>
        <v>30260</v>
      </c>
      <c r="Q5" s="143">
        <f t="shared" ref="Q5:Q11" si="6">P5+1</f>
        <v>30261</v>
      </c>
      <c r="R5" s="141" t="s">
        <v>53</v>
      </c>
      <c r="S5" s="142">
        <f t="shared" ref="S5:S11" si="7">G5*3</f>
        <v>45390</v>
      </c>
      <c r="T5" s="143">
        <f t="shared" ref="T5:T11" si="8">S5+1</f>
        <v>45391</v>
      </c>
      <c r="U5" s="141" t="s">
        <v>53</v>
      </c>
      <c r="V5" s="142">
        <f t="shared" ref="V5:V11" si="9">G5*4</f>
        <v>60520</v>
      </c>
      <c r="W5" s="144">
        <f t="shared" ref="W5:W11" si="10">V5+1</f>
        <v>60521</v>
      </c>
    </row>
    <row r="6" spans="2:23" x14ac:dyDescent="0.25">
      <c r="D6">
        <v>3</v>
      </c>
      <c r="E6" s="140">
        <v>0</v>
      </c>
      <c r="F6" s="141" t="s">
        <v>53</v>
      </c>
      <c r="G6" s="142">
        <f t="shared" ref="G6:G11" si="11">G5+B$5</f>
        <v>19090</v>
      </c>
      <c r="H6" s="143">
        <f t="shared" si="0"/>
        <v>19091</v>
      </c>
      <c r="I6" s="141" t="s">
        <v>53</v>
      </c>
      <c r="J6" s="142">
        <f t="shared" si="1"/>
        <v>25390</v>
      </c>
      <c r="K6" s="143">
        <f t="shared" si="2"/>
        <v>25391</v>
      </c>
      <c r="L6" s="141" t="s">
        <v>53</v>
      </c>
      <c r="M6" s="142">
        <f t="shared" si="3"/>
        <v>28635</v>
      </c>
      <c r="N6" s="143">
        <f t="shared" si="4"/>
        <v>28636</v>
      </c>
      <c r="O6" s="141" t="s">
        <v>53</v>
      </c>
      <c r="P6" s="142">
        <f t="shared" si="5"/>
        <v>38180</v>
      </c>
      <c r="Q6" s="143">
        <f t="shared" si="6"/>
        <v>38181</v>
      </c>
      <c r="R6" s="141" t="s">
        <v>53</v>
      </c>
      <c r="S6" s="142">
        <f t="shared" si="7"/>
        <v>57270</v>
      </c>
      <c r="T6" s="143">
        <f t="shared" si="8"/>
        <v>57271</v>
      </c>
      <c r="U6" s="141" t="s">
        <v>53</v>
      </c>
      <c r="V6" s="142">
        <f t="shared" si="9"/>
        <v>76360</v>
      </c>
      <c r="W6" s="144">
        <f t="shared" si="10"/>
        <v>76361</v>
      </c>
    </row>
    <row r="7" spans="2:23" x14ac:dyDescent="0.25">
      <c r="D7">
        <v>4</v>
      </c>
      <c r="E7" s="140">
        <v>0</v>
      </c>
      <c r="F7" s="141" t="s">
        <v>53</v>
      </c>
      <c r="G7" s="142">
        <f t="shared" si="11"/>
        <v>23050</v>
      </c>
      <c r="H7" s="143">
        <f t="shared" si="0"/>
        <v>23051</v>
      </c>
      <c r="I7" s="141" t="s">
        <v>53</v>
      </c>
      <c r="J7" s="142">
        <f t="shared" si="1"/>
        <v>30657</v>
      </c>
      <c r="K7" s="143">
        <f t="shared" si="2"/>
        <v>30658</v>
      </c>
      <c r="L7" s="141" t="s">
        <v>53</v>
      </c>
      <c r="M7" s="142">
        <f t="shared" si="3"/>
        <v>34575</v>
      </c>
      <c r="N7" s="143">
        <f t="shared" si="4"/>
        <v>34576</v>
      </c>
      <c r="O7" s="141" t="s">
        <v>53</v>
      </c>
      <c r="P7" s="142">
        <f t="shared" si="5"/>
        <v>46100</v>
      </c>
      <c r="Q7" s="143">
        <f t="shared" si="6"/>
        <v>46101</v>
      </c>
      <c r="R7" s="141" t="s">
        <v>53</v>
      </c>
      <c r="S7" s="142">
        <f t="shared" si="7"/>
        <v>69150</v>
      </c>
      <c r="T7" s="143">
        <f t="shared" si="8"/>
        <v>69151</v>
      </c>
      <c r="U7" s="141" t="s">
        <v>53</v>
      </c>
      <c r="V7" s="142">
        <f t="shared" si="9"/>
        <v>92200</v>
      </c>
      <c r="W7" s="144">
        <f t="shared" si="10"/>
        <v>92201</v>
      </c>
    </row>
    <row r="8" spans="2:23" x14ac:dyDescent="0.25">
      <c r="D8">
        <v>5</v>
      </c>
      <c r="E8" s="140">
        <v>0</v>
      </c>
      <c r="F8" s="141" t="s">
        <v>53</v>
      </c>
      <c r="G8" s="142">
        <f t="shared" si="11"/>
        <v>27010</v>
      </c>
      <c r="H8" s="143">
        <f t="shared" si="0"/>
        <v>27011</v>
      </c>
      <c r="I8" s="141" t="s">
        <v>53</v>
      </c>
      <c r="J8" s="142">
        <f t="shared" si="1"/>
        <v>35923</v>
      </c>
      <c r="K8" s="143">
        <f t="shared" si="2"/>
        <v>35924</v>
      </c>
      <c r="L8" s="141" t="s">
        <v>53</v>
      </c>
      <c r="M8" s="142">
        <f t="shared" si="3"/>
        <v>40515</v>
      </c>
      <c r="N8" s="143">
        <f t="shared" si="4"/>
        <v>40516</v>
      </c>
      <c r="O8" s="141" t="s">
        <v>53</v>
      </c>
      <c r="P8" s="142">
        <f t="shared" si="5"/>
        <v>54020</v>
      </c>
      <c r="Q8" s="143">
        <f t="shared" si="6"/>
        <v>54021</v>
      </c>
      <c r="R8" s="141" t="s">
        <v>53</v>
      </c>
      <c r="S8" s="142">
        <f t="shared" si="7"/>
        <v>81030</v>
      </c>
      <c r="T8" s="143">
        <f t="shared" si="8"/>
        <v>81031</v>
      </c>
      <c r="U8" s="141" t="s">
        <v>53</v>
      </c>
      <c r="V8" s="142">
        <f t="shared" si="9"/>
        <v>108040</v>
      </c>
      <c r="W8" s="144">
        <f t="shared" si="10"/>
        <v>108041</v>
      </c>
    </row>
    <row r="9" spans="2:23" x14ac:dyDescent="0.25">
      <c r="D9">
        <v>6</v>
      </c>
      <c r="E9" s="140">
        <v>0</v>
      </c>
      <c r="F9" s="141" t="s">
        <v>53</v>
      </c>
      <c r="G9" s="142">
        <f t="shared" si="11"/>
        <v>30970</v>
      </c>
      <c r="H9" s="143">
        <f t="shared" si="0"/>
        <v>30971</v>
      </c>
      <c r="I9" s="141" t="s">
        <v>53</v>
      </c>
      <c r="J9" s="142">
        <f t="shared" si="1"/>
        <v>41190</v>
      </c>
      <c r="K9" s="143">
        <f t="shared" si="2"/>
        <v>41191</v>
      </c>
      <c r="L9" s="141" t="s">
        <v>53</v>
      </c>
      <c r="M9" s="142">
        <f t="shared" si="3"/>
        <v>46455</v>
      </c>
      <c r="N9" s="143">
        <f t="shared" si="4"/>
        <v>46456</v>
      </c>
      <c r="O9" s="141" t="s">
        <v>53</v>
      </c>
      <c r="P9" s="142">
        <f t="shared" si="5"/>
        <v>61940</v>
      </c>
      <c r="Q9" s="143">
        <f t="shared" si="6"/>
        <v>61941</v>
      </c>
      <c r="R9" s="141" t="s">
        <v>53</v>
      </c>
      <c r="S9" s="142">
        <f t="shared" si="7"/>
        <v>92910</v>
      </c>
      <c r="T9" s="143">
        <f t="shared" si="8"/>
        <v>92911</v>
      </c>
      <c r="U9" s="141" t="s">
        <v>53</v>
      </c>
      <c r="V9" s="142">
        <f t="shared" si="9"/>
        <v>123880</v>
      </c>
      <c r="W9" s="144">
        <f t="shared" si="10"/>
        <v>123881</v>
      </c>
    </row>
    <row r="10" spans="2:23" x14ac:dyDescent="0.25">
      <c r="D10">
        <v>7</v>
      </c>
      <c r="E10" s="140">
        <v>0</v>
      </c>
      <c r="F10" s="141" t="s">
        <v>53</v>
      </c>
      <c r="G10" s="142">
        <f t="shared" si="11"/>
        <v>34930</v>
      </c>
      <c r="H10" s="143">
        <f t="shared" si="0"/>
        <v>34931</v>
      </c>
      <c r="I10" s="141" t="s">
        <v>53</v>
      </c>
      <c r="J10" s="142">
        <f t="shared" si="1"/>
        <v>46457</v>
      </c>
      <c r="K10" s="143">
        <f t="shared" si="2"/>
        <v>46458</v>
      </c>
      <c r="L10" s="141" t="s">
        <v>53</v>
      </c>
      <c r="M10" s="142">
        <f t="shared" si="3"/>
        <v>52395</v>
      </c>
      <c r="N10" s="143">
        <f t="shared" si="4"/>
        <v>52396</v>
      </c>
      <c r="O10" s="141" t="s">
        <v>53</v>
      </c>
      <c r="P10" s="142">
        <f t="shared" si="5"/>
        <v>69860</v>
      </c>
      <c r="Q10" s="143">
        <f t="shared" si="6"/>
        <v>69861</v>
      </c>
      <c r="R10" s="141" t="s">
        <v>53</v>
      </c>
      <c r="S10" s="142">
        <f t="shared" si="7"/>
        <v>104790</v>
      </c>
      <c r="T10" s="143">
        <f t="shared" si="8"/>
        <v>104791</v>
      </c>
      <c r="U10" s="141" t="s">
        <v>53</v>
      </c>
      <c r="V10" s="142">
        <f t="shared" si="9"/>
        <v>139720</v>
      </c>
      <c r="W10" s="144">
        <f t="shared" si="10"/>
        <v>139721</v>
      </c>
    </row>
    <row r="11" spans="2:23" x14ac:dyDescent="0.25">
      <c r="D11">
        <v>8</v>
      </c>
      <c r="E11" s="140">
        <v>0</v>
      </c>
      <c r="F11" s="141" t="s">
        <v>53</v>
      </c>
      <c r="G11" s="142">
        <f t="shared" si="11"/>
        <v>38890</v>
      </c>
      <c r="H11" s="143">
        <f t="shared" si="0"/>
        <v>38891</v>
      </c>
      <c r="I11" s="141" t="s">
        <v>53</v>
      </c>
      <c r="J11" s="142">
        <f t="shared" si="1"/>
        <v>51724</v>
      </c>
      <c r="K11" s="143">
        <f t="shared" si="2"/>
        <v>51725</v>
      </c>
      <c r="L11" s="141" t="s">
        <v>53</v>
      </c>
      <c r="M11" s="142">
        <f t="shared" si="3"/>
        <v>58335</v>
      </c>
      <c r="N11" s="143">
        <f t="shared" si="4"/>
        <v>58336</v>
      </c>
      <c r="O11" s="141" t="s">
        <v>53</v>
      </c>
      <c r="P11" s="142">
        <f t="shared" si="5"/>
        <v>77780</v>
      </c>
      <c r="Q11" s="143">
        <f t="shared" si="6"/>
        <v>77781</v>
      </c>
      <c r="R11" s="141" t="s">
        <v>53</v>
      </c>
      <c r="S11" s="142">
        <f t="shared" si="7"/>
        <v>116670</v>
      </c>
      <c r="T11" s="143">
        <f t="shared" si="8"/>
        <v>116671</v>
      </c>
      <c r="U11" s="141" t="s">
        <v>53</v>
      </c>
      <c r="V11" s="142">
        <f t="shared" si="9"/>
        <v>155560</v>
      </c>
      <c r="W11" s="144">
        <f t="shared" si="10"/>
        <v>155561</v>
      </c>
    </row>
    <row r="12" spans="2:23" x14ac:dyDescent="0.25">
      <c r="G12" s="1">
        <f>G5-G4</f>
        <v>3960</v>
      </c>
      <c r="H12" s="1"/>
      <c r="I12" s="1"/>
      <c r="J12" s="1">
        <f>J5-J4</f>
        <v>5267</v>
      </c>
      <c r="K12" s="1"/>
      <c r="L12" s="1"/>
      <c r="M12" s="1">
        <f>M5-M4</f>
        <v>5940</v>
      </c>
      <c r="N12" s="1"/>
      <c r="O12" s="1"/>
      <c r="P12" s="1">
        <f>P5-P4</f>
        <v>7920</v>
      </c>
      <c r="Q12" s="1"/>
      <c r="R12" s="1"/>
      <c r="S12" s="1">
        <f>S5-S4</f>
        <v>11880</v>
      </c>
      <c r="T12" s="1"/>
      <c r="U12" s="1"/>
      <c r="V12" s="1">
        <f>V5-V4</f>
        <v>15840</v>
      </c>
      <c r="W12" s="1">
        <f>W5-W4</f>
        <v>15840</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19" id="{984CA2FB-06D9-4B55-A0A5-E388C36F991E}">
            <xm:f>AND(Eligibility!B57="Cat 1",Eligibility!R9=1)</xm:f>
            <x14:dxf>
              <font>
                <color theme="1"/>
              </font>
              <fill>
                <patternFill>
                  <bgColor rgb="FFFF0000"/>
                </patternFill>
              </fill>
              <border>
                <left style="thin">
                  <color auto="1"/>
                </left>
                <right/>
                <top style="thin">
                  <color auto="1"/>
                </top>
                <bottom style="thin">
                  <color auto="1"/>
                </bottom>
                <vertical/>
                <horizontal/>
              </border>
            </x14:dxf>
          </x14:cfRule>
          <xm:sqref>E4:G4</xm:sqref>
        </x14:conditionalFormatting>
        <x14:conditionalFormatting xmlns:xm="http://schemas.microsoft.com/office/excel/2006/main">
          <x14:cfRule type="expression" priority="922" stopIfTrue="1" id="{E6E4ECBC-D28B-454D-B168-99D7EFFA43F1}">
            <xm:f>AND(Eligibility!B57="Cat 1",Eligibility!R9=2)</xm:f>
            <x14:dxf>
              <font>
                <color theme="1"/>
              </font>
              <fill>
                <patternFill>
                  <bgColor rgb="FFFF0000"/>
                </patternFill>
              </fill>
              <border>
                <left style="thin">
                  <color auto="1"/>
                </left>
                <right/>
                <top style="thin">
                  <color auto="1"/>
                </top>
                <bottom style="thin">
                  <color auto="1"/>
                </bottom>
                <vertical/>
                <horizontal/>
              </border>
            </x14:dxf>
          </x14:cfRule>
          <xm:sqref>E5:G5</xm:sqref>
        </x14:conditionalFormatting>
        <x14:conditionalFormatting xmlns:xm="http://schemas.microsoft.com/office/excel/2006/main">
          <x14:cfRule type="expression" priority="925" stopIfTrue="1" id="{2881192E-7117-426E-863F-16E4A906ACD0}">
            <xm:f>AND(Eligibility!B57="Cat 1",Eligibility!R9=3)</xm:f>
            <x14:dxf>
              <fill>
                <patternFill>
                  <bgColor rgb="FFFF0000"/>
                </patternFill>
              </fill>
              <border>
                <left style="thin">
                  <color auto="1"/>
                </left>
                <top style="thin">
                  <color auto="1"/>
                </top>
                <bottom style="thin">
                  <color auto="1"/>
                </bottom>
                <vertical/>
                <horizontal/>
              </border>
            </x14:dxf>
          </x14:cfRule>
          <xm:sqref>E6:G6</xm:sqref>
        </x14:conditionalFormatting>
        <x14:conditionalFormatting xmlns:xm="http://schemas.microsoft.com/office/excel/2006/main">
          <x14:cfRule type="expression" priority="920" stopIfTrue="1" id="{6A5629DC-A47C-49D7-B4B2-FAA66BFCF573}">
            <xm:f>AND(Eligibility!B57="Cat 1",Eligibility!R9=1)</xm:f>
            <x14:dxf>
              <font>
                <color theme="1"/>
              </font>
              <fill>
                <patternFill>
                  <bgColor rgb="FFFF0000"/>
                </patternFill>
              </fill>
              <border>
                <left/>
                <right/>
                <top style="thin">
                  <color auto="1"/>
                </top>
                <bottom style="thin">
                  <color auto="1"/>
                </bottom>
                <vertical/>
                <horizontal/>
              </border>
            </x14:dxf>
          </x14:cfRule>
          <xm:sqref>F4</xm:sqref>
        </x14:conditionalFormatting>
        <x14:conditionalFormatting xmlns:xm="http://schemas.microsoft.com/office/excel/2006/main">
          <x14:cfRule type="expression" priority="923" stopIfTrue="1" id="{71C4F072-0596-43EA-85F6-0F83E644666A}">
            <xm:f>AND(Eligibility!B57="Cat 1",Eligibility!R9=2)</xm:f>
            <x14:dxf>
              <font>
                <color theme="1"/>
              </font>
              <fill>
                <patternFill>
                  <bgColor rgb="FFFF0000"/>
                </patternFill>
              </fill>
              <border>
                <top style="thin">
                  <color auto="1"/>
                </top>
                <bottom style="thin">
                  <color auto="1"/>
                </bottom>
                <vertical/>
                <horizontal/>
              </border>
            </x14:dxf>
          </x14:cfRule>
          <xm:sqref>F5</xm:sqref>
        </x14:conditionalFormatting>
        <x14:conditionalFormatting xmlns:xm="http://schemas.microsoft.com/office/excel/2006/main">
          <x14:cfRule type="expression" priority="926" stopIfTrue="1" id="{823D354A-75EE-416F-A416-D2B3DCDF64B3}">
            <xm:f>AND(Eligibility!B57="Cat 1",Eligibility!R9=3)</xm:f>
            <x14:dxf>
              <fill>
                <patternFill>
                  <bgColor rgb="FFFF0000"/>
                </patternFill>
              </fill>
              <border>
                <top style="thin">
                  <color auto="1"/>
                </top>
                <bottom style="thin">
                  <color auto="1"/>
                </bottom>
                <vertical/>
                <horizontal/>
              </border>
            </x14:dxf>
          </x14:cfRule>
          <xm:sqref>F6</xm:sqref>
        </x14:conditionalFormatting>
        <x14:conditionalFormatting xmlns:xm="http://schemas.microsoft.com/office/excel/2006/main">
          <x14:cfRule type="expression" priority="921" stopIfTrue="1" id="{8F4BC941-6EC7-4DAD-A2CC-8DA924EE9D24}">
            <xm:f>AND(Eligibility!B57="Cat 1",Eligibility!R9=1)</xm:f>
            <x14:dxf>
              <font>
                <color theme="1"/>
              </font>
              <fill>
                <patternFill>
                  <bgColor rgb="FFFF0000"/>
                </patternFill>
              </fill>
              <border>
                <left/>
                <right style="thin">
                  <color auto="1"/>
                </right>
                <top style="thin">
                  <color auto="1"/>
                </top>
                <bottom style="thin">
                  <color auto="1"/>
                </bottom>
                <vertical/>
                <horizontal/>
              </border>
            </x14:dxf>
          </x14:cfRule>
          <xm:sqref>G4</xm:sqref>
        </x14:conditionalFormatting>
        <x14:conditionalFormatting xmlns:xm="http://schemas.microsoft.com/office/excel/2006/main">
          <x14:cfRule type="expression" priority="924" stopIfTrue="1" id="{D528C9A3-8996-409A-916B-726EE716259A}">
            <xm:f>AND(Eligibility!B57="Cat 1",Eligibility!R9=2)</xm:f>
            <x14:dxf>
              <font>
                <color theme="1"/>
              </font>
              <fill>
                <patternFill>
                  <bgColor rgb="FFFF0000"/>
                </patternFill>
              </fill>
              <border>
                <right style="thin">
                  <color auto="1"/>
                </right>
                <top style="thin">
                  <color auto="1"/>
                </top>
                <bottom style="thin">
                  <color auto="1"/>
                </bottom>
                <vertical/>
                <horizontal/>
              </border>
            </x14:dxf>
          </x14:cfRule>
          <xm:sqref>G5</xm:sqref>
        </x14:conditionalFormatting>
        <x14:conditionalFormatting xmlns:xm="http://schemas.microsoft.com/office/excel/2006/main">
          <x14:cfRule type="expression" priority="927" stopIfTrue="1" id="{E6141F14-C958-4490-AE81-7EBA89E0B559}">
            <xm:f>AND(Eligibility!B57="Cat 1",Eligibility!R9=3)</xm:f>
            <x14:dxf>
              <fill>
                <patternFill>
                  <bgColor rgb="FFFF0000"/>
                </patternFill>
              </fill>
              <border>
                <left/>
                <right style="thin">
                  <color auto="1"/>
                </right>
                <top style="thin">
                  <color auto="1"/>
                </top>
                <bottom style="thin">
                  <color auto="1"/>
                </bottom>
                <vertical/>
                <horizontal/>
              </border>
            </x14:dxf>
          </x14:cfRule>
          <xm:sqref>G6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M49"/>
  <sheetViews>
    <sheetView topLeftCell="A7" zoomScaleNormal="100" workbookViewId="0">
      <selection activeCell="D15" sqref="D15"/>
    </sheetView>
  </sheetViews>
  <sheetFormatPr defaultRowHeight="12.5" x14ac:dyDescent="0.25"/>
  <cols>
    <col min="1" max="1" width="6.26953125" style="64" customWidth="1"/>
    <col min="2" max="2" width="12.1796875" customWidth="1"/>
    <col min="3" max="3" width="9.1796875" customWidth="1"/>
    <col min="4" max="4" width="12.26953125" customWidth="1"/>
    <col min="5" max="10" width="10.81640625" customWidth="1"/>
    <col min="11" max="11" width="12.54296875" customWidth="1"/>
    <col min="12" max="12" width="12.453125" customWidth="1"/>
    <col min="13" max="13" width="9.1796875" hidden="1" customWidth="1"/>
  </cols>
  <sheetData>
    <row r="1" spans="1:13" ht="44.25" customHeight="1" thickBot="1" x14ac:dyDescent="0.3">
      <c r="A1" s="506"/>
      <c r="B1" s="507"/>
      <c r="C1" s="508"/>
      <c r="D1" s="1"/>
      <c r="E1" s="505"/>
      <c r="F1" s="505"/>
      <c r="G1" s="1"/>
      <c r="H1" s="213"/>
      <c r="J1" s="441">
        <f ca="1">TODAY()</f>
        <v>45692</v>
      </c>
      <c r="K1" s="509"/>
    </row>
    <row r="2" spans="1:13" ht="13" thickTop="1" x14ac:dyDescent="0.25">
      <c r="A2" s="425" t="s">
        <v>16</v>
      </c>
      <c r="B2" s="440"/>
      <c r="C2" s="440"/>
      <c r="D2" s="1"/>
      <c r="E2" s="443" t="s">
        <v>17</v>
      </c>
      <c r="F2" s="440"/>
      <c r="G2" s="1"/>
      <c r="H2" s="86" t="s">
        <v>224</v>
      </c>
      <c r="J2" s="510" t="s">
        <v>18</v>
      </c>
      <c r="K2" s="511"/>
    </row>
    <row r="3" spans="1:13" ht="15.5" x14ac:dyDescent="0.35">
      <c r="A3" s="204" t="str">
        <f>IF(OR(A1="",H1=""),"Please Enter Client Name and Agency Initials","")</f>
        <v>Please Enter Client Name and Agency Initials</v>
      </c>
      <c r="B3" s="41"/>
      <c r="C3" s="41"/>
      <c r="D3" s="1"/>
      <c r="E3" s="118"/>
      <c r="F3" s="41"/>
      <c r="G3" s="1"/>
      <c r="H3" s="1"/>
    </row>
    <row r="4" spans="1:13" ht="15.5" x14ac:dyDescent="0.25">
      <c r="A4" s="207" t="str">
        <f>IF(OR(D6="",I6=""),"Please enter Total Charged to Date and Remaining Cap",IF(SUM(E36:K36)&lt;SUM(E13:K34),"All Charges Exceed Client Cap, Total Charges Have Been Adjusted",IF(C10="Cat 1","Client has no Annual Cap, NO CHARGES NECESSARY","")))</f>
        <v>Please enter Total Charged to Date and Remaining Cap</v>
      </c>
      <c r="F4" s="1"/>
    </row>
    <row r="5" spans="1:13" ht="15.5" x14ac:dyDescent="0.35">
      <c r="A5" s="524" t="str">
        <f>IF(C10="","Please choose Sliding Scale Category","")</f>
        <v>Please choose Sliding Scale Category</v>
      </c>
      <c r="B5" s="525"/>
      <c r="C5" s="526"/>
      <c r="D5" s="526"/>
      <c r="E5" s="526"/>
      <c r="F5" s="1"/>
      <c r="G5" s="1"/>
    </row>
    <row r="6" spans="1:13" ht="15.5" x14ac:dyDescent="0.35">
      <c r="A6" s="521" t="s">
        <v>198</v>
      </c>
      <c r="B6" s="522"/>
      <c r="C6" s="523"/>
      <c r="D6" s="515"/>
      <c r="E6" s="516"/>
      <c r="F6" s="77"/>
      <c r="G6" s="517" t="s">
        <v>113</v>
      </c>
      <c r="H6" s="518"/>
      <c r="I6" s="519"/>
      <c r="J6" s="520"/>
    </row>
    <row r="7" spans="1:13" ht="31.5" customHeight="1" thickBot="1" x14ac:dyDescent="0.3">
      <c r="A7" s="134"/>
      <c r="B7" s="512" t="s">
        <v>256</v>
      </c>
      <c r="C7" s="512"/>
      <c r="D7" s="513"/>
      <c r="E7" s="513"/>
      <c r="F7" s="513"/>
      <c r="G7" s="513"/>
      <c r="H7" s="513"/>
      <c r="I7" s="513"/>
      <c r="J7" s="513"/>
      <c r="K7" s="514"/>
    </row>
    <row r="8" spans="1:13" ht="13" thickTop="1" x14ac:dyDescent="0.25">
      <c r="A8" s="176"/>
      <c r="D8" s="499" t="s">
        <v>57</v>
      </c>
      <c r="E8" s="491">
        <f>Eligibility!B61</f>
        <v>0</v>
      </c>
      <c r="F8" s="491">
        <f>Eligibility!F62</f>
        <v>0.01</v>
      </c>
      <c r="G8" s="491">
        <f>Eligibility!I62</f>
        <v>0.02</v>
      </c>
      <c r="H8" s="491">
        <f>Eligibility!M62</f>
        <v>0.03</v>
      </c>
      <c r="I8" s="491">
        <f>Eligibility!P62</f>
        <v>0.05</v>
      </c>
      <c r="J8" s="100">
        <f>Eligibility!S62</f>
        <v>0.1</v>
      </c>
      <c r="K8" s="168">
        <v>1</v>
      </c>
      <c r="M8" s="71" t="s">
        <v>221</v>
      </c>
    </row>
    <row r="9" spans="1:13" ht="25" x14ac:dyDescent="0.25">
      <c r="A9" s="177"/>
      <c r="B9" s="66"/>
      <c r="C9" s="111"/>
      <c r="D9" s="500"/>
      <c r="E9" s="492"/>
      <c r="F9" s="492"/>
      <c r="G9" s="492"/>
      <c r="H9" s="492"/>
      <c r="I9" s="492"/>
      <c r="J9" s="101" t="s">
        <v>134</v>
      </c>
      <c r="K9" s="169" t="s">
        <v>135</v>
      </c>
      <c r="M9" s="71" t="s">
        <v>220</v>
      </c>
    </row>
    <row r="10" spans="1:13" ht="25" x14ac:dyDescent="0.25">
      <c r="A10" s="177"/>
      <c r="B10" s="66" t="s">
        <v>10</v>
      </c>
      <c r="C10" s="214"/>
      <c r="D10" s="66" t="s">
        <v>10</v>
      </c>
      <c r="E10" s="65">
        <v>1</v>
      </c>
      <c r="F10" s="65">
        <v>2</v>
      </c>
      <c r="G10" s="65">
        <v>3</v>
      </c>
      <c r="H10" s="65">
        <v>4</v>
      </c>
      <c r="I10" s="65">
        <v>5</v>
      </c>
      <c r="J10" s="65">
        <v>6</v>
      </c>
      <c r="K10" s="171" t="s">
        <v>132</v>
      </c>
      <c r="M10" s="71" t="s">
        <v>219</v>
      </c>
    </row>
    <row r="11" spans="1:13" x14ac:dyDescent="0.25">
      <c r="A11" s="178"/>
      <c r="B11" s="69"/>
      <c r="C11" s="70"/>
      <c r="D11" s="67" t="s">
        <v>8</v>
      </c>
      <c r="E11" s="117" t="s">
        <v>78</v>
      </c>
      <c r="F11" s="117" t="s">
        <v>204</v>
      </c>
      <c r="G11" s="117" t="s">
        <v>205</v>
      </c>
      <c r="H11" s="117" t="s">
        <v>79</v>
      </c>
      <c r="I11" s="117" t="s">
        <v>80</v>
      </c>
      <c r="J11" s="117" t="s">
        <v>81</v>
      </c>
      <c r="K11" s="171" t="s">
        <v>131</v>
      </c>
      <c r="M11" s="71" t="s">
        <v>218</v>
      </c>
    </row>
    <row r="12" spans="1:13" ht="27" customHeight="1" thickBot="1" x14ac:dyDescent="0.3">
      <c r="A12" s="179" t="s">
        <v>82</v>
      </c>
      <c r="B12" s="485" t="s">
        <v>58</v>
      </c>
      <c r="C12" s="486"/>
      <c r="D12" s="102" t="s">
        <v>119</v>
      </c>
      <c r="E12" s="68"/>
      <c r="F12" s="68"/>
      <c r="G12" s="68"/>
      <c r="H12" s="68"/>
      <c r="I12" s="68"/>
      <c r="J12" s="68"/>
      <c r="K12" s="172"/>
      <c r="M12" s="71" t="s">
        <v>222</v>
      </c>
    </row>
    <row r="13" spans="1:13" ht="15" customHeight="1" thickBot="1" x14ac:dyDescent="0.3">
      <c r="A13" s="180"/>
      <c r="B13" s="487" t="s">
        <v>59</v>
      </c>
      <c r="C13" s="488"/>
      <c r="D13" s="254">
        <v>150</v>
      </c>
      <c r="E13" s="113" t="str">
        <f>IF($A13="","",IF($C$10="Cat 1",ROUND($D13*E$8,0),""))</f>
        <v/>
      </c>
      <c r="F13" s="113" t="str">
        <f>IF($A13="","",IF($C$10="Cat 2",ROUND($D13*F$8,0),""))</f>
        <v/>
      </c>
      <c r="G13" s="113" t="str">
        <f>IF($A13="","",IF($C$10="Cat 3",ROUND($D13*G$8,0),""))</f>
        <v/>
      </c>
      <c r="H13" s="113" t="str">
        <f>IF($A13="","",IF($C$10="Cat 4",ROUND($D13*H$8,0),""))</f>
        <v/>
      </c>
      <c r="I13" s="113" t="str">
        <f>IF($A13="","",IF($C$10="Cat 5",ROUND($D13*I$8,0),""))</f>
        <v/>
      </c>
      <c r="J13" s="113" t="str">
        <f>IF($A13="","",IF($C$10="Cat 6","Not Eligible*",""))</f>
        <v/>
      </c>
      <c r="K13" s="173" t="str">
        <f t="shared" ref="K13:K34" si="0">IF($A13="","",IF(LEFT(C$9,1)="C","",IF($C$10="N/A","Not Eligible*","")))</f>
        <v/>
      </c>
      <c r="M13" s="71" t="s">
        <v>223</v>
      </c>
    </row>
    <row r="14" spans="1:13" ht="15" customHeight="1" thickBot="1" x14ac:dyDescent="0.3">
      <c r="A14" s="180"/>
      <c r="B14" s="503" t="s">
        <v>60</v>
      </c>
      <c r="C14" s="192" t="s">
        <v>61</v>
      </c>
      <c r="D14" s="254">
        <v>66</v>
      </c>
      <c r="E14" s="113" t="s">
        <v>301</v>
      </c>
      <c r="F14" s="113" t="s">
        <v>301</v>
      </c>
      <c r="G14" s="113" t="s">
        <v>301</v>
      </c>
      <c r="H14" s="113" t="s">
        <v>301</v>
      </c>
      <c r="I14" s="113" t="s">
        <v>301</v>
      </c>
      <c r="J14" s="113" t="s">
        <v>301</v>
      </c>
      <c r="K14" s="173" t="s">
        <v>301</v>
      </c>
      <c r="M14" s="71"/>
    </row>
    <row r="15" spans="1:13" ht="15.75" customHeight="1" thickBot="1" x14ac:dyDescent="0.3">
      <c r="A15" s="180"/>
      <c r="B15" s="504"/>
      <c r="C15" s="191" t="s">
        <v>62</v>
      </c>
      <c r="D15" s="254">
        <v>34</v>
      </c>
      <c r="E15" s="113" t="s">
        <v>301</v>
      </c>
      <c r="F15" s="113" t="s">
        <v>301</v>
      </c>
      <c r="G15" s="113" t="s">
        <v>301</v>
      </c>
      <c r="H15" s="113" t="s">
        <v>301</v>
      </c>
      <c r="I15" s="113" t="s">
        <v>301</v>
      </c>
      <c r="J15" s="113" t="s">
        <v>301</v>
      </c>
      <c r="K15" s="173" t="s">
        <v>301</v>
      </c>
      <c r="M15" s="71" t="s">
        <v>132</v>
      </c>
    </row>
    <row r="16" spans="1:13" ht="20.25" customHeight="1" thickBot="1" x14ac:dyDescent="0.3">
      <c r="A16" s="180"/>
      <c r="B16" s="483" t="s">
        <v>77</v>
      </c>
      <c r="C16" s="192" t="s">
        <v>61</v>
      </c>
      <c r="D16" s="254">
        <v>79</v>
      </c>
      <c r="E16" s="113" t="str">
        <f t="shared" ref="E16:E34" si="1">IF($A16="","",IF($C$10="Cat 1",ROUND($D16*E$8,0),""))</f>
        <v/>
      </c>
      <c r="F16" s="113" t="str">
        <f t="shared" ref="F16:F34" si="2">IF($A16="","",IF($C$10="Cat 2",ROUND($D16*F$8,0),""))</f>
        <v/>
      </c>
      <c r="G16" s="113" t="str">
        <f t="shared" ref="G16:G34" si="3">IF($A16="","",IF($C$10="Cat 3",ROUND($D16*G$8,0),""))</f>
        <v/>
      </c>
      <c r="H16" s="113" t="str">
        <f t="shared" ref="H16:H34" si="4">IF($A16="","",IF($C$10="Cat 4",ROUND($D16*H$8,0),""))</f>
        <v/>
      </c>
      <c r="I16" s="113" t="str">
        <f t="shared" ref="I16:I34" si="5">IF($A16="","",IF($C$10="Cat 5",ROUND($D16*I$8,0),""))</f>
        <v/>
      </c>
      <c r="J16" s="113" t="str">
        <f t="shared" ref="J16:J18" si="6">IF($A16="","",IF($C$10="Cat 6","Not Eligible*",""))</f>
        <v/>
      </c>
      <c r="K16" s="173" t="str">
        <f t="shared" si="0"/>
        <v/>
      </c>
      <c r="M16" s="71"/>
    </row>
    <row r="17" spans="1:13" ht="20.25" customHeight="1" thickBot="1" x14ac:dyDescent="0.3">
      <c r="A17" s="180"/>
      <c r="B17" s="484"/>
      <c r="C17" s="191" t="s">
        <v>62</v>
      </c>
      <c r="D17" s="255">
        <v>26</v>
      </c>
      <c r="E17" s="113" t="str">
        <f t="shared" si="1"/>
        <v/>
      </c>
      <c r="F17" s="113" t="str">
        <f t="shared" si="2"/>
        <v/>
      </c>
      <c r="G17" s="113" t="str">
        <f t="shared" si="3"/>
        <v/>
      </c>
      <c r="H17" s="113" t="str">
        <f t="shared" si="4"/>
        <v/>
      </c>
      <c r="I17" s="113" t="str">
        <f t="shared" si="5"/>
        <v/>
      </c>
      <c r="J17" s="113" t="str">
        <f t="shared" si="6"/>
        <v/>
      </c>
      <c r="K17" s="173" t="str">
        <f t="shared" si="0"/>
        <v/>
      </c>
      <c r="M17" s="71"/>
    </row>
    <row r="18" spans="1:13" ht="13" thickBot="1" x14ac:dyDescent="0.3">
      <c r="A18" s="180"/>
      <c r="B18" s="487" t="s">
        <v>63</v>
      </c>
      <c r="C18" s="488"/>
      <c r="D18" s="254">
        <v>145</v>
      </c>
      <c r="E18" s="113" t="str">
        <f t="shared" si="1"/>
        <v/>
      </c>
      <c r="F18" s="113" t="str">
        <f t="shared" si="2"/>
        <v/>
      </c>
      <c r="G18" s="113" t="str">
        <f t="shared" si="3"/>
        <v/>
      </c>
      <c r="H18" s="113" t="str">
        <f t="shared" si="4"/>
        <v/>
      </c>
      <c r="I18" s="113" t="str">
        <f t="shared" si="5"/>
        <v/>
      </c>
      <c r="J18" s="113" t="str">
        <f t="shared" si="6"/>
        <v/>
      </c>
      <c r="K18" s="173" t="str">
        <f t="shared" si="0"/>
        <v/>
      </c>
    </row>
    <row r="19" spans="1:13" ht="25.5" customHeight="1" thickBot="1" x14ac:dyDescent="0.3">
      <c r="A19" s="180"/>
      <c r="B19" s="478" t="s">
        <v>64</v>
      </c>
      <c r="C19" s="482"/>
      <c r="D19" s="254">
        <v>0</v>
      </c>
      <c r="E19" s="113" t="str">
        <f t="shared" si="1"/>
        <v/>
      </c>
      <c r="F19" s="113" t="str">
        <f t="shared" si="2"/>
        <v/>
      </c>
      <c r="G19" s="113" t="str">
        <f t="shared" si="3"/>
        <v/>
      </c>
      <c r="H19" s="113" t="str">
        <f t="shared" si="4"/>
        <v/>
      </c>
      <c r="I19" s="113" t="str">
        <f t="shared" si="5"/>
        <v/>
      </c>
      <c r="J19" s="113" t="str">
        <f>IF($A19="","",IF($C$10="Cat 6",ROUND($D19*J$8,0),""))</f>
        <v/>
      </c>
      <c r="K19" s="173" t="str">
        <f>IF($A19="","",IF(LEFT(C$9,1)="C","",IF($C$10="N/A",ROUND($D19*K$8,0),"")))</f>
        <v/>
      </c>
    </row>
    <row r="20" spans="1:13" ht="29.25" customHeight="1" thickBot="1" x14ac:dyDescent="0.3">
      <c r="A20" s="180"/>
      <c r="B20" s="478" t="s">
        <v>65</v>
      </c>
      <c r="C20" s="482"/>
      <c r="D20" s="254">
        <v>60</v>
      </c>
      <c r="E20" s="113" t="str">
        <f t="shared" si="1"/>
        <v/>
      </c>
      <c r="F20" s="113" t="str">
        <f t="shared" si="2"/>
        <v/>
      </c>
      <c r="G20" s="113" t="str">
        <f t="shared" si="3"/>
        <v/>
      </c>
      <c r="H20" s="113" t="str">
        <f t="shared" si="4"/>
        <v/>
      </c>
      <c r="I20" s="113" t="str">
        <f t="shared" si="5"/>
        <v/>
      </c>
      <c r="J20" s="113" t="str">
        <f t="shared" ref="J20:J34" si="7">IF($A20="","",IF($C$10="Cat 6","Not Eligible*",""))</f>
        <v/>
      </c>
      <c r="K20" s="173" t="str">
        <f t="shared" si="0"/>
        <v/>
      </c>
    </row>
    <row r="21" spans="1:13" ht="13" thickBot="1" x14ac:dyDescent="0.3">
      <c r="A21" s="180"/>
      <c r="B21" s="478" t="s">
        <v>66</v>
      </c>
      <c r="C21" s="482"/>
      <c r="D21" s="254">
        <v>0</v>
      </c>
      <c r="E21" s="113" t="str">
        <f t="shared" si="1"/>
        <v/>
      </c>
      <c r="F21" s="113" t="str">
        <f t="shared" si="2"/>
        <v/>
      </c>
      <c r="G21" s="113" t="str">
        <f t="shared" si="3"/>
        <v/>
      </c>
      <c r="H21" s="113" t="str">
        <f t="shared" si="4"/>
        <v/>
      </c>
      <c r="I21" s="113" t="str">
        <f t="shared" si="5"/>
        <v/>
      </c>
      <c r="J21" s="113" t="str">
        <f t="shared" si="7"/>
        <v/>
      </c>
      <c r="K21" s="173" t="str">
        <f t="shared" si="0"/>
        <v/>
      </c>
    </row>
    <row r="22" spans="1:13" ht="13" thickBot="1" x14ac:dyDescent="0.3">
      <c r="A22" s="180"/>
      <c r="B22" s="478" t="s">
        <v>67</v>
      </c>
      <c r="C22" s="482"/>
      <c r="D22" s="256">
        <v>0</v>
      </c>
      <c r="E22" s="113" t="str">
        <f t="shared" si="1"/>
        <v/>
      </c>
      <c r="F22" s="113" t="str">
        <f t="shared" si="2"/>
        <v/>
      </c>
      <c r="G22" s="113" t="str">
        <f t="shared" si="3"/>
        <v/>
      </c>
      <c r="H22" s="113" t="str">
        <f t="shared" si="4"/>
        <v/>
      </c>
      <c r="I22" s="113" t="str">
        <f t="shared" si="5"/>
        <v/>
      </c>
      <c r="J22" s="113" t="str">
        <f t="shared" si="7"/>
        <v/>
      </c>
      <c r="K22" s="173" t="str">
        <f t="shared" si="0"/>
        <v/>
      </c>
    </row>
    <row r="23" spans="1:13" ht="29.25" customHeight="1" thickBot="1" x14ac:dyDescent="0.3">
      <c r="A23" s="180"/>
      <c r="B23" s="478" t="s">
        <v>68</v>
      </c>
      <c r="C23" s="479"/>
      <c r="D23" s="254">
        <v>0</v>
      </c>
      <c r="E23" s="113" t="str">
        <f t="shared" si="1"/>
        <v/>
      </c>
      <c r="F23" s="113" t="str">
        <f t="shared" si="2"/>
        <v/>
      </c>
      <c r="G23" s="113" t="str">
        <f t="shared" si="3"/>
        <v/>
      </c>
      <c r="H23" s="113" t="str">
        <f t="shared" si="4"/>
        <v/>
      </c>
      <c r="I23" s="113" t="str">
        <f t="shared" si="5"/>
        <v/>
      </c>
      <c r="J23" s="113" t="str">
        <f t="shared" si="7"/>
        <v/>
      </c>
      <c r="K23" s="173" t="str">
        <f t="shared" si="0"/>
        <v/>
      </c>
    </row>
    <row r="24" spans="1:13" ht="28.5" customHeight="1" thickBot="1" x14ac:dyDescent="0.3">
      <c r="A24" s="180"/>
      <c r="B24" s="478" t="s">
        <v>69</v>
      </c>
      <c r="C24" s="479"/>
      <c r="D24" s="254">
        <v>0</v>
      </c>
      <c r="E24" s="113" t="str">
        <f t="shared" si="1"/>
        <v/>
      </c>
      <c r="F24" s="113" t="str">
        <f t="shared" si="2"/>
        <v/>
      </c>
      <c r="G24" s="113" t="str">
        <f t="shared" si="3"/>
        <v/>
      </c>
      <c r="H24" s="113" t="str">
        <f t="shared" si="4"/>
        <v/>
      </c>
      <c r="I24" s="113" t="str">
        <f t="shared" si="5"/>
        <v/>
      </c>
      <c r="J24" s="113" t="str">
        <f t="shared" si="7"/>
        <v/>
      </c>
      <c r="K24" s="173" t="str">
        <f t="shared" si="0"/>
        <v/>
      </c>
    </row>
    <row r="25" spans="1:13" ht="26.25" customHeight="1" thickBot="1" x14ac:dyDescent="0.3">
      <c r="A25" s="180"/>
      <c r="B25" s="478" t="s">
        <v>70</v>
      </c>
      <c r="C25" s="479"/>
      <c r="D25" s="256">
        <v>0</v>
      </c>
      <c r="E25" s="113" t="str">
        <f t="shared" si="1"/>
        <v/>
      </c>
      <c r="F25" s="113" t="str">
        <f t="shared" si="2"/>
        <v/>
      </c>
      <c r="G25" s="113" t="str">
        <f t="shared" si="3"/>
        <v/>
      </c>
      <c r="H25" s="113" t="str">
        <f t="shared" si="4"/>
        <v/>
      </c>
      <c r="I25" s="113" t="str">
        <f t="shared" si="5"/>
        <v/>
      </c>
      <c r="J25" s="113" t="str">
        <f t="shared" si="7"/>
        <v/>
      </c>
      <c r="K25" s="173" t="str">
        <f t="shared" si="0"/>
        <v/>
      </c>
    </row>
    <row r="26" spans="1:13" ht="27" customHeight="1" thickBot="1" x14ac:dyDescent="0.3">
      <c r="A26" s="180"/>
      <c r="B26" s="478" t="s">
        <v>71</v>
      </c>
      <c r="C26" s="479"/>
      <c r="D26" s="254">
        <v>0</v>
      </c>
      <c r="E26" s="113" t="str">
        <f t="shared" si="1"/>
        <v/>
      </c>
      <c r="F26" s="113" t="str">
        <f t="shared" si="2"/>
        <v/>
      </c>
      <c r="G26" s="113" t="str">
        <f t="shared" si="3"/>
        <v/>
      </c>
      <c r="H26" s="113" t="str">
        <f t="shared" si="4"/>
        <v/>
      </c>
      <c r="I26" s="113" t="str">
        <f t="shared" si="5"/>
        <v/>
      </c>
      <c r="J26" s="113" t="str">
        <f t="shared" si="7"/>
        <v/>
      </c>
      <c r="K26" s="173" t="str">
        <f t="shared" si="0"/>
        <v/>
      </c>
    </row>
    <row r="27" spans="1:13" ht="13" thickBot="1" x14ac:dyDescent="0.3">
      <c r="A27" s="180"/>
      <c r="B27" s="493" t="s">
        <v>72</v>
      </c>
      <c r="C27" s="494"/>
      <c r="D27" s="254">
        <v>0</v>
      </c>
      <c r="E27" s="113" t="str">
        <f t="shared" si="1"/>
        <v/>
      </c>
      <c r="F27" s="113" t="str">
        <f t="shared" si="2"/>
        <v/>
      </c>
      <c r="G27" s="113" t="str">
        <f t="shared" si="3"/>
        <v/>
      </c>
      <c r="H27" s="113" t="str">
        <f t="shared" si="4"/>
        <v/>
      </c>
      <c r="I27" s="113" t="str">
        <f t="shared" si="5"/>
        <v/>
      </c>
      <c r="J27" s="113" t="str">
        <f t="shared" si="7"/>
        <v/>
      </c>
      <c r="K27" s="173" t="str">
        <f t="shared" si="0"/>
        <v/>
      </c>
    </row>
    <row r="28" spans="1:13" ht="13" thickBot="1" x14ac:dyDescent="0.3">
      <c r="A28" s="180"/>
      <c r="B28" s="478" t="s">
        <v>73</v>
      </c>
      <c r="C28" s="479"/>
      <c r="D28" s="256">
        <v>0</v>
      </c>
      <c r="E28" s="113" t="str">
        <f t="shared" si="1"/>
        <v/>
      </c>
      <c r="F28" s="113" t="str">
        <f t="shared" si="2"/>
        <v/>
      </c>
      <c r="G28" s="113" t="str">
        <f t="shared" si="3"/>
        <v/>
      </c>
      <c r="H28" s="113" t="str">
        <f t="shared" si="4"/>
        <v/>
      </c>
      <c r="I28" s="113" t="str">
        <f t="shared" si="5"/>
        <v/>
      </c>
      <c r="J28" s="113" t="str">
        <f t="shared" si="7"/>
        <v/>
      </c>
      <c r="K28" s="173" t="str">
        <f t="shared" si="0"/>
        <v/>
      </c>
    </row>
    <row r="29" spans="1:13" ht="13" thickBot="1" x14ac:dyDescent="0.3">
      <c r="A29" s="180"/>
      <c r="B29" s="478" t="s">
        <v>74</v>
      </c>
      <c r="C29" s="479"/>
      <c r="D29" s="254">
        <v>0</v>
      </c>
      <c r="E29" s="113" t="str">
        <f t="shared" si="1"/>
        <v/>
      </c>
      <c r="F29" s="113" t="str">
        <f t="shared" si="2"/>
        <v/>
      </c>
      <c r="G29" s="113" t="str">
        <f t="shared" si="3"/>
        <v/>
      </c>
      <c r="H29" s="113" t="str">
        <f t="shared" si="4"/>
        <v/>
      </c>
      <c r="I29" s="113" t="str">
        <f t="shared" si="5"/>
        <v/>
      </c>
      <c r="J29" s="113" t="str">
        <f t="shared" si="7"/>
        <v/>
      </c>
      <c r="K29" s="173" t="str">
        <f t="shared" si="0"/>
        <v/>
      </c>
    </row>
    <row r="30" spans="1:13" ht="13" thickBot="1" x14ac:dyDescent="0.3">
      <c r="A30" s="180"/>
      <c r="B30" s="478" t="s">
        <v>75</v>
      </c>
      <c r="C30" s="479"/>
      <c r="D30" s="256">
        <v>0</v>
      </c>
      <c r="E30" s="113" t="str">
        <f t="shared" si="1"/>
        <v/>
      </c>
      <c r="F30" s="113" t="str">
        <f t="shared" si="2"/>
        <v/>
      </c>
      <c r="G30" s="113" t="str">
        <f t="shared" si="3"/>
        <v/>
      </c>
      <c r="H30" s="113" t="str">
        <f t="shared" si="4"/>
        <v/>
      </c>
      <c r="I30" s="113" t="str">
        <f t="shared" si="5"/>
        <v/>
      </c>
      <c r="J30" s="113" t="str">
        <f t="shared" si="7"/>
        <v/>
      </c>
      <c r="K30" s="173" t="str">
        <f t="shared" si="0"/>
        <v/>
      </c>
    </row>
    <row r="31" spans="1:13" ht="13" thickBot="1" x14ac:dyDescent="0.3">
      <c r="A31" s="180"/>
      <c r="B31" s="478" t="s">
        <v>112</v>
      </c>
      <c r="C31" s="479"/>
      <c r="D31" s="256">
        <v>0</v>
      </c>
      <c r="E31" s="113" t="str">
        <f t="shared" si="1"/>
        <v/>
      </c>
      <c r="F31" s="113" t="str">
        <f t="shared" si="2"/>
        <v/>
      </c>
      <c r="G31" s="113" t="str">
        <f t="shared" si="3"/>
        <v/>
      </c>
      <c r="H31" s="113" t="str">
        <f t="shared" si="4"/>
        <v/>
      </c>
      <c r="I31" s="113" t="str">
        <f t="shared" si="5"/>
        <v/>
      </c>
      <c r="J31" s="113" t="str">
        <f t="shared" si="7"/>
        <v/>
      </c>
      <c r="K31" s="173" t="str">
        <f t="shared" si="0"/>
        <v/>
      </c>
    </row>
    <row r="32" spans="1:13" ht="13" thickBot="1" x14ac:dyDescent="0.3">
      <c r="A32" s="180"/>
      <c r="B32" s="478" t="s">
        <v>76</v>
      </c>
      <c r="C32" s="479"/>
      <c r="D32" s="256">
        <v>0</v>
      </c>
      <c r="E32" s="113" t="str">
        <f t="shared" si="1"/>
        <v/>
      </c>
      <c r="F32" s="113" t="str">
        <f t="shared" si="2"/>
        <v/>
      </c>
      <c r="G32" s="113" t="str">
        <f t="shared" si="3"/>
        <v/>
      </c>
      <c r="H32" s="113" t="str">
        <f t="shared" si="4"/>
        <v/>
      </c>
      <c r="I32" s="113" t="str">
        <f t="shared" si="5"/>
        <v/>
      </c>
      <c r="J32" s="113" t="str">
        <f t="shared" si="7"/>
        <v/>
      </c>
      <c r="K32" s="173" t="str">
        <f t="shared" si="0"/>
        <v/>
      </c>
    </row>
    <row r="33" spans="1:13" ht="18" customHeight="1" thickBot="1" x14ac:dyDescent="0.3">
      <c r="A33" s="197"/>
      <c r="B33" s="495" t="s">
        <v>83</v>
      </c>
      <c r="C33" s="239" t="s">
        <v>211</v>
      </c>
      <c r="D33" s="257">
        <v>152</v>
      </c>
      <c r="E33" s="113" t="str">
        <f t="shared" si="1"/>
        <v/>
      </c>
      <c r="F33" s="113" t="str">
        <f t="shared" si="2"/>
        <v/>
      </c>
      <c r="G33" s="113" t="str">
        <f t="shared" si="3"/>
        <v/>
      </c>
      <c r="H33" s="113" t="str">
        <f t="shared" si="4"/>
        <v/>
      </c>
      <c r="I33" s="113" t="str">
        <f t="shared" si="5"/>
        <v/>
      </c>
      <c r="J33" s="113" t="str">
        <f t="shared" si="7"/>
        <v/>
      </c>
      <c r="K33" s="173" t="str">
        <f t="shared" si="0"/>
        <v/>
      </c>
    </row>
    <row r="34" spans="1:13" ht="25.5" customHeight="1" thickBot="1" x14ac:dyDescent="0.3">
      <c r="A34" s="181"/>
      <c r="B34" s="496"/>
      <c r="C34" s="240" t="s">
        <v>212</v>
      </c>
      <c r="D34" s="258">
        <v>340</v>
      </c>
      <c r="E34" s="174" t="str">
        <f t="shared" si="1"/>
        <v/>
      </c>
      <c r="F34" s="174" t="str">
        <f t="shared" si="2"/>
        <v/>
      </c>
      <c r="G34" s="174" t="str">
        <f t="shared" si="3"/>
        <v/>
      </c>
      <c r="H34" s="174" t="str">
        <f t="shared" si="4"/>
        <v/>
      </c>
      <c r="I34" s="174" t="str">
        <f t="shared" si="5"/>
        <v/>
      </c>
      <c r="J34" s="174" t="str">
        <f t="shared" si="7"/>
        <v/>
      </c>
      <c r="K34" s="175" t="str">
        <f t="shared" si="0"/>
        <v/>
      </c>
    </row>
    <row r="35" spans="1:13" ht="13" thickTop="1" x14ac:dyDescent="0.25">
      <c r="A35" s="177"/>
      <c r="E35" s="114"/>
      <c r="F35" s="114"/>
      <c r="G35" s="114"/>
      <c r="H35" s="114"/>
      <c r="I35" s="114"/>
      <c r="J35" s="115"/>
      <c r="K35" s="187"/>
    </row>
    <row r="36" spans="1:13" ht="13" thickBot="1" x14ac:dyDescent="0.3">
      <c r="A36" s="183"/>
      <c r="B36" s="480" t="s">
        <v>274</v>
      </c>
      <c r="C36" s="481"/>
      <c r="D36" s="184"/>
      <c r="E36" s="185" t="str">
        <f>IF(AND(SUM($A13:$A34)=0,COUNTA($A13:$A34)=0),"",IF($C$10="Cat 1",IF($D$6+SUM(E13:E34)&gt;$I$6,$I$6,SUM(E13:E34)),""))</f>
        <v/>
      </c>
      <c r="F36" s="185" t="str">
        <f>IF(AND(SUM($A13:$A34)=0,COUNTA($A13:$A34)=0),"",IF($C$10="Cat 2",IF($D$6+SUM(F13:F34)&gt;$I$6,$I$6,SUM(F13:F34)),""))</f>
        <v/>
      </c>
      <c r="G36" s="185" t="str">
        <f>IF(AND(SUM($A13:$A34)=0,COUNTA($A13:$A34)=0),"",IF($C$10="Cat 3",IF($D$6+SUM(G13:G34)&gt;$I$6,$I$6,SUM(G13:G34)),""))</f>
        <v/>
      </c>
      <c r="H36" s="185" t="str">
        <f>IF(AND(SUM($A13:$A34)=0,COUNTA($A13:$A34)=0),"",IF($C$10="Cat 4",IF($D$6+SUM(H13:H34)&gt;$I$6,$I$6,SUM(H13:H34)),""))</f>
        <v/>
      </c>
      <c r="I36" s="185" t="str">
        <f>IF(AND(SUM($A13:$A34)=0,COUNTA($A13:$A34)=0),"",IF($C$10="Cat 5",IF($D$6+SUM(I13:I34)&gt;$I$6,$I$6,SUM(I13:I34)),""))</f>
        <v/>
      </c>
      <c r="J36" s="185" t="str">
        <f>IF(AND(SUM($A13:$A34)=0,COUNTA($A13:$A34)=0),"",IF($C$10="Cat 6",SUM(J13:J34),""))</f>
        <v/>
      </c>
      <c r="K36" s="186" t="str">
        <f>IF(AND(SUM($A13:$A34)=0,COUNTA($A13:$A34)=0),"",IF($C$10="N/A",SUM(K13:K34),""))</f>
        <v/>
      </c>
      <c r="M36" s="41"/>
    </row>
    <row r="37" spans="1:13" ht="13" thickTop="1" x14ac:dyDescent="0.25">
      <c r="B37" s="202"/>
      <c r="C37" s="202"/>
      <c r="D37" s="202"/>
      <c r="E37" s="202"/>
      <c r="F37" s="202"/>
      <c r="G37" s="182"/>
      <c r="H37" s="182"/>
      <c r="I37" s="182"/>
      <c r="J37" s="182"/>
      <c r="K37" s="182"/>
    </row>
    <row r="38" spans="1:13" ht="17.5" x14ac:dyDescent="0.25">
      <c r="A38" s="155" t="str">
        <f>IF(SUM(E36:K36)&lt;SUM(E13:K34),"Total Charges Today are reduced to not exceed Client Cap on Charges","")</f>
        <v/>
      </c>
      <c r="E38" s="203"/>
      <c r="M38" s="154"/>
    </row>
    <row r="39" spans="1:13" ht="18" thickBot="1" x14ac:dyDescent="0.5">
      <c r="A39" s="155"/>
      <c r="B39" s="473"/>
      <c r="C39" s="474"/>
      <c r="D39" s="474"/>
      <c r="E39" s="156"/>
      <c r="F39" s="473"/>
      <c r="G39" s="474"/>
      <c r="H39" s="474"/>
      <c r="I39" s="189"/>
      <c r="J39" s="156" t="s">
        <v>111</v>
      </c>
      <c r="K39" s="222"/>
      <c r="M39" s="154"/>
    </row>
    <row r="40" spans="1:13" ht="17.5" x14ac:dyDescent="0.25">
      <c r="A40" s="155"/>
      <c r="B40" s="6" t="s">
        <v>38</v>
      </c>
      <c r="C40" s="6"/>
      <c r="D40" s="6"/>
      <c r="E40" s="1"/>
      <c r="F40" s="188" t="s">
        <v>181</v>
      </c>
      <c r="G40" s="6"/>
      <c r="H40" s="6"/>
      <c r="M40" s="154"/>
    </row>
    <row r="41" spans="1:13" ht="17.5" x14ac:dyDescent="0.25">
      <c r="A41" s="155"/>
      <c r="M41" s="154"/>
    </row>
    <row r="42" spans="1:13" ht="19.5" customHeight="1" thickBot="1" x14ac:dyDescent="0.4">
      <c r="A42" s="167" t="s">
        <v>177</v>
      </c>
      <c r="B42" s="489" t="str">
        <f>IF(A1="","",A1)</f>
        <v/>
      </c>
      <c r="C42" s="490"/>
      <c r="D42" s="71" t="s">
        <v>178</v>
      </c>
    </row>
    <row r="43" spans="1:13" x14ac:dyDescent="0.25">
      <c r="B43" s="71" t="s">
        <v>179</v>
      </c>
    </row>
    <row r="44" spans="1:13" x14ac:dyDescent="0.25">
      <c r="B44" t="s">
        <v>180</v>
      </c>
    </row>
    <row r="47" spans="1:13" ht="15.5" thickBot="1" x14ac:dyDescent="0.5">
      <c r="B47" s="473"/>
      <c r="C47" s="474"/>
      <c r="D47" s="474"/>
      <c r="E47" s="156"/>
      <c r="F47" s="473"/>
      <c r="G47" s="474"/>
      <c r="H47" s="474"/>
      <c r="I47" s="189"/>
      <c r="J47" s="156"/>
    </row>
    <row r="48" spans="1:13" x14ac:dyDescent="0.25">
      <c r="B48" s="6" t="s">
        <v>38</v>
      </c>
      <c r="C48" s="6"/>
      <c r="D48" s="6"/>
      <c r="E48" s="1"/>
      <c r="F48" s="188" t="s">
        <v>181</v>
      </c>
      <c r="G48" s="6"/>
      <c r="H48" s="6"/>
    </row>
    <row r="49" spans="10:10" x14ac:dyDescent="0.25">
      <c r="J49" s="63" t="str">
        <f>Eligibility!U42</f>
        <v>created 11/12</v>
      </c>
    </row>
  </sheetData>
  <sheetProtection sheet="1" objects="1" scenarios="1"/>
  <mergeCells count="44">
    <mergeCell ref="B47:D47"/>
    <mergeCell ref="F47:H47"/>
    <mergeCell ref="B32:C32"/>
    <mergeCell ref="B33:B34"/>
    <mergeCell ref="B36:C36"/>
    <mergeCell ref="B39:D39"/>
    <mergeCell ref="F39:H39"/>
    <mergeCell ref="B42:C42"/>
    <mergeCell ref="B31:C31"/>
    <mergeCell ref="B20:C20"/>
    <mergeCell ref="B21:C21"/>
    <mergeCell ref="B22:C22"/>
    <mergeCell ref="B23:C23"/>
    <mergeCell ref="B24:C24"/>
    <mergeCell ref="B25:C25"/>
    <mergeCell ref="B26:C26"/>
    <mergeCell ref="B27:C27"/>
    <mergeCell ref="B28:C28"/>
    <mergeCell ref="B29:C29"/>
    <mergeCell ref="B30:C30"/>
    <mergeCell ref="D6:E6"/>
    <mergeCell ref="G6:H6"/>
    <mergeCell ref="I6:J6"/>
    <mergeCell ref="A6:C6"/>
    <mergeCell ref="A5:E5"/>
    <mergeCell ref="B19:C19"/>
    <mergeCell ref="B7:K7"/>
    <mergeCell ref="D8:D9"/>
    <mergeCell ref="E8:E9"/>
    <mergeCell ref="F8:F9"/>
    <mergeCell ref="G8:G9"/>
    <mergeCell ref="H8:H9"/>
    <mergeCell ref="I8:I9"/>
    <mergeCell ref="B12:C12"/>
    <mergeCell ref="B13:C13"/>
    <mergeCell ref="B16:B17"/>
    <mergeCell ref="B18:C18"/>
    <mergeCell ref="B14:B15"/>
    <mergeCell ref="E1:F1"/>
    <mergeCell ref="E2:F2"/>
    <mergeCell ref="A1:C1"/>
    <mergeCell ref="A2:C2"/>
    <mergeCell ref="J1:K1"/>
    <mergeCell ref="J2:K2"/>
  </mergeCells>
  <dataValidations count="1">
    <dataValidation type="list" allowBlank="1" showInputMessage="1" showErrorMessage="1" sqref="C10" xr:uid="{00000000-0002-0000-0800-000000000000}">
      <formula1>$M$8:$M$15</formula1>
    </dataValidation>
  </dataValidations>
  <pageMargins left="0.5" right="0.5" top="0.5" bottom="0.5" header="0.3" footer="0.3"/>
  <pageSetup scale="83" orientation="portrait" r:id="rId1"/>
  <ignoredErrors>
    <ignoredError sqref="J19:K1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15B45388D5D54982F4AC5B2CF2A987" ma:contentTypeVersion="13" ma:contentTypeDescription="Create a new document." ma:contentTypeScope="" ma:versionID="ce5c93899c1107f086b6f2b0b795205d">
  <xsd:schema xmlns:xsd="http://www.w3.org/2001/XMLSchema" xmlns:xs="http://www.w3.org/2001/XMLSchema" xmlns:p="http://schemas.microsoft.com/office/2006/metadata/properties" xmlns:ns1="http://schemas.microsoft.com/sharepoint/v3" xmlns:ns3="2e93e87c-da02-4e03-af4d-87b7f8f15dc1" targetNamespace="http://schemas.microsoft.com/office/2006/metadata/properties" ma:root="true" ma:fieldsID="8c9c3e0b4e04e238577d22fc8be0914e" ns1:_="" ns3:_="">
    <xsd:import namespace="http://schemas.microsoft.com/sharepoint/v3"/>
    <xsd:import namespace="2e93e87c-da02-4e03-af4d-87b7f8f15dc1"/>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3e87c-da02-4e03-af4d-87b7f8f15d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0B09DE-0866-4EBC-8DC7-DB8BEBA68DFF}">
  <ds:schemaRefs>
    <ds:schemaRef ds:uri="http://purl.org/dc/dcmitype/"/>
    <ds:schemaRef ds:uri="http://schemas.microsoft.com/office/2006/metadata/properties"/>
    <ds:schemaRef ds:uri="http://schemas.microsoft.com/office/2006/documentManagement/types"/>
    <ds:schemaRef ds:uri="http://www.w3.org/XML/1998/namespace"/>
    <ds:schemaRef ds:uri="http://schemas.microsoft.com/sharepoint/v3"/>
    <ds:schemaRef ds:uri="http://purl.org/dc/elements/1.1/"/>
    <ds:schemaRef ds:uri="http://purl.org/dc/terms/"/>
    <ds:schemaRef ds:uri="http://schemas.microsoft.com/office/infopath/2007/PartnerControls"/>
    <ds:schemaRef ds:uri="http://schemas.openxmlformats.org/package/2006/metadata/core-properties"/>
    <ds:schemaRef ds:uri="2e93e87c-da02-4e03-af4d-87b7f8f15dc1"/>
  </ds:schemaRefs>
</ds:datastoreItem>
</file>

<file path=customXml/itemProps2.xml><?xml version="1.0" encoding="utf-8"?>
<ds:datastoreItem xmlns:ds="http://schemas.openxmlformats.org/officeDocument/2006/customXml" ds:itemID="{6BE446FF-4A93-4058-B3DC-28DE28CAF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3e87c-da02-4e03-af4d-87b7f8f15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B8AE1A-56C6-4435-BA94-673874DB81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Eligibility</vt:lpstr>
      <vt:lpstr>EligReCert</vt:lpstr>
      <vt:lpstr>Med Expenses</vt:lpstr>
      <vt:lpstr>ZIncome</vt:lpstr>
      <vt:lpstr>Cap</vt:lpstr>
      <vt:lpstr>Charges</vt:lpstr>
      <vt:lpstr>Sheet1</vt:lpstr>
      <vt:lpstr>AddCharges</vt:lpstr>
      <vt:lpstr>Cap!Print_Area</vt:lpstr>
      <vt:lpstr>Charges!Print_Area</vt:lpstr>
      <vt:lpstr>'Med Expenses'!Print_Area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Ostapoff, Michael</dc:creator>
  <cp:lastModifiedBy>Lauren Ciborowski</cp:lastModifiedBy>
  <cp:lastPrinted>2019-01-22T14:27:08Z</cp:lastPrinted>
  <dcterms:created xsi:type="dcterms:W3CDTF">2009-03-26T14:19:35Z</dcterms:created>
  <dcterms:modified xsi:type="dcterms:W3CDTF">2025-02-04T16:21:44Z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0x010100C715B45388D5D54982F4AC5B2CF2A987</vt:lpwstr>
  </property>
</Properties>
</file>